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90" windowWidth="7650" windowHeight="9570" tabRatio="610" activeTab="3"/>
  </bookViews>
  <sheets>
    <sheet name="Sheet1" sheetId="1" r:id="rId1"/>
    <sheet name="奧運選拔積分" sheetId="2" state="hidden" r:id="rId2"/>
    <sheet name="全國紀錄" sheetId="3" state="hidden" r:id="rId3"/>
    <sheet name="對抗賽女" sheetId="4" r:id="rId4"/>
    <sheet name="個人資格賽" sheetId="5" state="hidden" r:id="rId5"/>
    <sheet name="積點" sheetId="6" state="hidden" r:id="rId6"/>
  </sheets>
  <definedNames>
    <definedName name="_xlnm.Print_Area" localSheetId="0">'Sheet1'!$A$1:$G$23</definedName>
    <definedName name="_xlnm.Print_Area" localSheetId="2">'全國紀錄'!$A$1:$C$30</definedName>
    <definedName name="_xlnm.Print_Area" localSheetId="4">'個人資格賽'!$A$1:$FO$26</definedName>
    <definedName name="_xlnm.Print_Area" localSheetId="1">'奧運選拔積分'!$A$2:$G$24</definedName>
  </definedNames>
  <calcPr fullCalcOnLoad="1"/>
</workbook>
</file>

<file path=xl/sharedStrings.xml><?xml version="1.0" encoding="utf-8"?>
<sst xmlns="http://schemas.openxmlformats.org/spreadsheetml/2006/main" count="622" uniqueCount="332">
  <si>
    <t>靶位</t>
  </si>
  <si>
    <t>排名</t>
  </si>
  <si>
    <t>備註</t>
  </si>
  <si>
    <t>組別</t>
  </si>
  <si>
    <t>總分</t>
  </si>
  <si>
    <t>或加射
擲銅板</t>
  </si>
  <si>
    <t>70M</t>
  </si>
  <si>
    <t>第四局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</si>
  <si>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</si>
  <si>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</si>
  <si>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</si>
  <si>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</si>
  <si>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</si>
  <si>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</si>
  <si>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</si>
  <si>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X(1)</t>
  </si>
  <si>
    <t>X(2)</t>
  </si>
  <si>
    <t>X(3)</t>
  </si>
  <si>
    <t>X(4)</t>
  </si>
  <si>
    <t>CX</t>
  </si>
  <si>
    <t>Hit</t>
  </si>
  <si>
    <t>X</t>
  </si>
  <si>
    <t>個人資格賽成績紀錄表</t>
  </si>
  <si>
    <t>1th</t>
  </si>
  <si>
    <t>2th</t>
  </si>
  <si>
    <t>3th</t>
  </si>
  <si>
    <t>淘汰</t>
  </si>
  <si>
    <t>組別</t>
  </si>
  <si>
    <t>資格賽成績</t>
  </si>
  <si>
    <t>對抗賽</t>
  </si>
  <si>
    <t>同分加射</t>
  </si>
  <si>
    <t>加權計分</t>
  </si>
  <si>
    <t>名次</t>
  </si>
  <si>
    <t>成績</t>
  </si>
  <si>
    <t>積分</t>
  </si>
  <si>
    <t>第一場</t>
  </si>
  <si>
    <t>第二場</t>
  </si>
  <si>
    <t>第三場</t>
  </si>
  <si>
    <t>第四場</t>
  </si>
  <si>
    <t>第五場</t>
  </si>
  <si>
    <t>第六場</t>
  </si>
  <si>
    <t>第七場</t>
  </si>
  <si>
    <t>第八場</t>
  </si>
  <si>
    <t>第一次</t>
  </si>
  <si>
    <t>第二次</t>
  </si>
  <si>
    <t>第三次</t>
  </si>
  <si>
    <t>加射</t>
  </si>
  <si>
    <t>積點</t>
  </si>
  <si>
    <t>複選賽名次</t>
  </si>
  <si>
    <t>複選總成績</t>
  </si>
  <si>
    <t>選拔總積分</t>
  </si>
  <si>
    <t>比賽日期：93年05月3～7日　　比賽地點：國訓中心</t>
  </si>
  <si>
    <t>同分加射</t>
  </si>
  <si>
    <r>
      <t>積點</t>
    </r>
    <r>
      <rPr>
        <sz val="14"/>
        <rFont val="標楷體"/>
        <family val="4"/>
      </rPr>
      <t>總分</t>
    </r>
  </si>
  <si>
    <r>
      <t>積點</t>
    </r>
    <r>
      <rPr>
        <sz val="14"/>
        <rFont val="標楷體"/>
        <family val="4"/>
      </rPr>
      <t>排名</t>
    </r>
  </si>
  <si>
    <r>
      <t>積點</t>
    </r>
    <r>
      <rPr>
        <sz val="14"/>
        <rFont val="標楷體"/>
        <family val="4"/>
      </rPr>
      <t>排名分數</t>
    </r>
  </si>
  <si>
    <r>
      <t xml:space="preserve">複選賽百分比
</t>
    </r>
    <r>
      <rPr>
        <b/>
        <sz val="12"/>
        <color indexed="53"/>
        <rFont val="標楷體"/>
        <family val="4"/>
      </rPr>
      <t>（</t>
    </r>
    <r>
      <rPr>
        <b/>
        <sz val="12"/>
        <color indexed="53"/>
        <rFont val="Times New Roman"/>
        <family val="1"/>
      </rPr>
      <t>30</t>
    </r>
    <r>
      <rPr>
        <b/>
        <sz val="12"/>
        <color indexed="53"/>
        <rFont val="標楷體"/>
        <family val="4"/>
      </rPr>
      <t>％）</t>
    </r>
    <r>
      <rPr>
        <sz val="12"/>
        <rFont val="標楷體"/>
        <family val="4"/>
      </rPr>
      <t xml:space="preserve">
</t>
    </r>
  </si>
  <si>
    <r>
      <t>裁判長：</t>
    </r>
    <r>
      <rPr>
        <sz val="12"/>
        <rFont val="Times New Roman"/>
        <family val="1"/>
      </rPr>
      <t xml:space="preserve">                             </t>
    </r>
    <r>
      <rPr>
        <sz val="12"/>
        <rFont val="標楷體"/>
        <family val="4"/>
      </rPr>
      <t>競賽組：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紀錄組：</t>
    </r>
  </si>
  <si>
    <t>女子組</t>
  </si>
  <si>
    <t>女子組</t>
  </si>
  <si>
    <t>07B</t>
  </si>
  <si>
    <t>02A</t>
  </si>
  <si>
    <t>05A</t>
  </si>
  <si>
    <t>09A</t>
  </si>
  <si>
    <t>07A</t>
  </si>
  <si>
    <t>04A</t>
  </si>
  <si>
    <t>01B</t>
  </si>
  <si>
    <t>03A</t>
  </si>
  <si>
    <t>01A</t>
  </si>
  <si>
    <t>10A</t>
  </si>
  <si>
    <t>09B</t>
  </si>
  <si>
    <t>08A</t>
  </si>
  <si>
    <t>02B</t>
  </si>
  <si>
    <t>03B</t>
  </si>
  <si>
    <t>06B</t>
  </si>
  <si>
    <t>08B</t>
  </si>
  <si>
    <t>10B</t>
  </si>
  <si>
    <t>06A</t>
  </si>
  <si>
    <t>04B</t>
  </si>
  <si>
    <t>05B</t>
  </si>
  <si>
    <t>101劉碧瑜  北市射會</t>
  </si>
  <si>
    <t>102蔡靜雯  高市射會</t>
  </si>
  <si>
    <t>104李珮怡  國立體院</t>
  </si>
  <si>
    <t>105王麗鈞  國立體院</t>
  </si>
  <si>
    <t>106張瀞文  國立體院</t>
  </si>
  <si>
    <t>107陳岑玉  國立體院</t>
  </si>
  <si>
    <t>108呂玲慈  台灣體院</t>
  </si>
  <si>
    <t>109李諭貞  台北體院</t>
  </si>
  <si>
    <t>110陳麗如  文化大學</t>
  </si>
  <si>
    <t>111袁叔琪  明德中學</t>
  </si>
  <si>
    <t>112林華珊  明德中學</t>
  </si>
  <si>
    <t>113林吏佳  明德中學</t>
  </si>
  <si>
    <t>114陳妍伶  新竹高商</t>
  </si>
  <si>
    <t>115戴瑞賢  新竹高商</t>
  </si>
  <si>
    <t>116陳馨怡  埔里高工</t>
  </si>
  <si>
    <t>117沈佳倩  埔里高工</t>
  </si>
  <si>
    <t>118曾麗文  埔里高工</t>
  </si>
  <si>
    <t>120彭暐婷  花蓮體中</t>
  </si>
  <si>
    <r>
      <t xml:space="preserve">     編號</t>
    </r>
    <r>
      <rPr>
        <b/>
        <sz val="12"/>
        <rFont val="標楷體"/>
        <family val="4"/>
      </rPr>
      <t>姓 名</t>
    </r>
    <r>
      <rPr>
        <sz val="12"/>
        <rFont val="標楷體"/>
        <family val="4"/>
      </rPr>
      <t xml:space="preserve">   </t>
    </r>
    <r>
      <rPr>
        <b/>
        <sz val="12"/>
        <rFont val="標楷體"/>
        <family val="4"/>
      </rPr>
      <t>單　　位</t>
    </r>
  </si>
  <si>
    <t>會長盃
成績</t>
  </si>
  <si>
    <t>小計</t>
  </si>
  <si>
    <t>103吳蕙如  國立體院</t>
  </si>
  <si>
    <t>姓名     單位</t>
  </si>
  <si>
    <t>名次</t>
  </si>
  <si>
    <t>比賽日期：92年12月~93年05月　　比賽地點：國訓中心</t>
  </si>
  <si>
    <r>
      <t>比例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10%）</t>
    </r>
  </si>
  <si>
    <r>
      <t>比例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20%）</t>
    </r>
  </si>
  <si>
    <r>
      <t>比例</t>
    </r>
    <r>
      <rPr>
        <sz val="12"/>
        <rFont val="Times New Roman"/>
        <family val="1"/>
      </rPr>
      <t>(3</t>
    </r>
    <r>
      <rPr>
        <sz val="12"/>
        <rFont val="標楷體"/>
        <family val="4"/>
      </rPr>
      <t>0%）</t>
    </r>
  </si>
  <si>
    <r>
      <t>比例</t>
    </r>
    <r>
      <rPr>
        <sz val="12"/>
        <rFont val="Times New Roman"/>
        <family val="1"/>
      </rPr>
      <t>(4</t>
    </r>
    <r>
      <rPr>
        <sz val="12"/>
        <rFont val="標楷體"/>
        <family val="4"/>
      </rPr>
      <t>0%）</t>
    </r>
  </si>
  <si>
    <r>
      <t>對抗賽</t>
    </r>
    <r>
      <rPr>
        <sz val="12"/>
        <color indexed="10"/>
        <rFont val="標楷體"/>
        <family val="4"/>
      </rPr>
      <t>總分</t>
    </r>
  </si>
  <si>
    <r>
      <t>對抗賽</t>
    </r>
    <r>
      <rPr>
        <sz val="12"/>
        <color indexed="10"/>
        <rFont val="標楷體"/>
        <family val="4"/>
      </rPr>
      <t>總分</t>
    </r>
    <r>
      <rPr>
        <sz val="12"/>
        <rFont val="標楷體"/>
        <family val="4"/>
      </rPr>
      <t>排名</t>
    </r>
  </si>
  <si>
    <r>
      <t>對抗賽</t>
    </r>
    <r>
      <rPr>
        <sz val="12"/>
        <color indexed="10"/>
        <rFont val="標楷體"/>
        <family val="4"/>
      </rPr>
      <t>總分</t>
    </r>
    <r>
      <rPr>
        <sz val="12"/>
        <rFont val="標楷體"/>
        <family val="4"/>
      </rPr>
      <t>積分</t>
    </r>
  </si>
  <si>
    <t>103 國立體院 吳蕙如</t>
  </si>
  <si>
    <t>111 北縣明德 袁叔琪</t>
  </si>
  <si>
    <t>113 北縣明德 林吏佳</t>
  </si>
  <si>
    <t>110 文化大學 陳麗如</t>
  </si>
  <si>
    <t>118 埔里高工 曾麗文</t>
  </si>
  <si>
    <t>102 高市射委 蔡靜雯</t>
  </si>
  <si>
    <t>114 新竹高商 陳妍伶</t>
  </si>
  <si>
    <t>101 北市射委 劉碧瑜</t>
  </si>
  <si>
    <t>115 新竹高商 戴瑞賢</t>
  </si>
  <si>
    <t>120 花蓮體中 彭暐婷</t>
  </si>
  <si>
    <t>112 北縣明德 林華珊</t>
  </si>
  <si>
    <t>116 埔里高工 陳馨怡</t>
  </si>
  <si>
    <t>150 花蓮體中 何妍皓</t>
  </si>
  <si>
    <t>104 國立體院 李佩怡</t>
  </si>
  <si>
    <t>151 台北體院 徐珮茹</t>
  </si>
  <si>
    <t>152 竹縣湖口 呂雅惠</t>
  </si>
  <si>
    <r>
      <t>編號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單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位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姓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名</t>
    </r>
  </si>
  <si>
    <t>團體資格賽</t>
  </si>
  <si>
    <t>單局</t>
  </si>
  <si>
    <t>64強個人對抗賽</t>
  </si>
  <si>
    <t>64強成績公布欄</t>
  </si>
  <si>
    <t>16強團體對抗賽</t>
  </si>
  <si>
    <t>楊鈞芪</t>
  </si>
  <si>
    <t>林雅華</t>
  </si>
  <si>
    <t>賴芳美</t>
  </si>
  <si>
    <t>80.03.13-15</t>
  </si>
  <si>
    <t>90.01.10-13</t>
  </si>
  <si>
    <t>90.01.10-14</t>
  </si>
  <si>
    <t>90.01.10-15</t>
  </si>
  <si>
    <t>林婉菱</t>
  </si>
  <si>
    <t>黃亞婷</t>
  </si>
  <si>
    <t>90.01.10-16</t>
  </si>
  <si>
    <t>蔡靜雯</t>
  </si>
  <si>
    <t>溫嘉玲</t>
  </si>
  <si>
    <t>施佩宜</t>
  </si>
  <si>
    <t>黃瓊宇</t>
  </si>
  <si>
    <t xml:space="preserve">射箭全國紀錄 </t>
  </si>
  <si>
    <t>全國運動會射箭紀錄</t>
  </si>
  <si>
    <t xml:space="preserve">反曲弓女子組 </t>
  </si>
  <si>
    <t>女子組射箭紀錄</t>
  </si>
  <si>
    <t xml:space="preserve"> 單局(SINGLE ROUND)</t>
  </si>
  <si>
    <t>個人資格賽</t>
  </si>
  <si>
    <t>項　目</t>
  </si>
  <si>
    <t>成績</t>
  </si>
  <si>
    <t>保持者</t>
  </si>
  <si>
    <t>滿　分</t>
  </si>
  <si>
    <t>賽　　　　　　別</t>
  </si>
  <si>
    <t>日　期</t>
  </si>
  <si>
    <t>比賽地點</t>
  </si>
  <si>
    <t>項目</t>
  </si>
  <si>
    <t>保持人</t>
  </si>
  <si>
    <t>項目別</t>
  </si>
  <si>
    <t>全項</t>
  </si>
  <si>
    <t>賴芳美</t>
  </si>
  <si>
    <t>亞運第一次複選賽</t>
  </si>
  <si>
    <t>79.05.09~12</t>
  </si>
  <si>
    <t>左訓中心</t>
  </si>
  <si>
    <t>全項總分（144箭）</t>
  </si>
  <si>
    <t>蔡靜雯</t>
  </si>
  <si>
    <t>單局</t>
  </si>
  <si>
    <t>紀錄對應區</t>
  </si>
  <si>
    <t>70M</t>
  </si>
  <si>
    <t>劉碧瑜</t>
  </si>
  <si>
    <t>1999年亞洲射箭巡迴賽</t>
  </si>
  <si>
    <t>87.08.29</t>
  </si>
  <si>
    <t>緬甸</t>
  </si>
  <si>
    <t>70公尺（36箭）</t>
  </si>
  <si>
    <t>60M</t>
  </si>
  <si>
    <t>潘雅琪</t>
  </si>
  <si>
    <t>88年全國中正盃射箭錦標賽</t>
  </si>
  <si>
    <t>88.11.11</t>
  </si>
  <si>
    <t>桃園陽明高中</t>
  </si>
  <si>
    <t>60公尺（36箭）</t>
  </si>
  <si>
    <t>50M</t>
  </si>
  <si>
    <t>袁叔琪</t>
  </si>
  <si>
    <t>第十三屆亞洲杯射箭賽</t>
  </si>
  <si>
    <t>92.11.05</t>
  </si>
  <si>
    <t>緬甸、仰光</t>
  </si>
  <si>
    <t>50公尺（36箭）</t>
  </si>
  <si>
    <t>陳馨怡</t>
  </si>
  <si>
    <t>30M</t>
  </si>
  <si>
    <t>左訓中心射箭場</t>
  </si>
  <si>
    <t>30公尺（36箭）</t>
  </si>
  <si>
    <t>余茹嵐</t>
  </si>
  <si>
    <t>團體</t>
  </si>
  <si>
    <t>全項團體總分（144箭×3人）</t>
  </si>
  <si>
    <t>賴怡菁</t>
  </si>
  <si>
    <t>吳蕙如</t>
  </si>
  <si>
    <t>黃亞靖</t>
  </si>
  <si>
    <t>雙局(DOUBLE ROUND)</t>
  </si>
  <si>
    <t>淘汰局對抗（70M-18箭）</t>
  </si>
  <si>
    <t>林宜螢</t>
  </si>
  <si>
    <t>個人對抗賽</t>
  </si>
  <si>
    <t>決賽局對抗（70M-12箭）</t>
  </si>
  <si>
    <t>決賽局對抗總分（9箭×3人）</t>
  </si>
  <si>
    <t>洪詩淳</t>
  </si>
  <si>
    <t>團體決賽局總分（9箭×3人）</t>
  </si>
  <si>
    <t>團體對抗賽</t>
  </si>
  <si>
    <t>32強個人對抗賽</t>
  </si>
  <si>
    <t>亞運第三次複選賽</t>
  </si>
  <si>
    <t>79.06.05~08</t>
  </si>
  <si>
    <t>楊鈞芪</t>
  </si>
  <si>
    <t>陳亭佑</t>
  </si>
  <si>
    <t>32強成績公布欄</t>
  </si>
  <si>
    <t>第八屆銀箭盃射箭錦標賽</t>
  </si>
  <si>
    <t>80.08.07~10</t>
  </si>
  <si>
    <t>義大利米蘭</t>
  </si>
  <si>
    <t>團體決賽局總分（9箭×3人×2輪）</t>
  </si>
  <si>
    <t>李佳儒</t>
  </si>
  <si>
    <t>楊惠如</t>
  </si>
  <si>
    <t>第八屆射箭盃射箭錦標賽</t>
  </si>
  <si>
    <t>70.08.07-10</t>
  </si>
  <si>
    <t>沈佩穎</t>
  </si>
  <si>
    <t>陳姿君</t>
  </si>
  <si>
    <t>奧運局（OLYMPIC ROUND）</t>
  </si>
  <si>
    <t>個 人排名賽（70M-72箭）</t>
  </si>
  <si>
    <t>2000年奧運會</t>
  </si>
  <si>
    <t>89.09.16</t>
  </si>
  <si>
    <t>澳洲、雪梨</t>
  </si>
  <si>
    <t>個人淘汰局對抗（70M-18箭）</t>
  </si>
  <si>
    <t>2000年奧運決選排名-3</t>
  </si>
  <si>
    <t>89.05.22-24</t>
  </si>
  <si>
    <t>左營運動訓練中心</t>
  </si>
  <si>
    <t>個人決賽局對抗（70M-12箭）</t>
  </si>
  <si>
    <t>第十四屆釜山亞運會</t>
  </si>
  <si>
    <t>91.10.06-10</t>
  </si>
  <si>
    <t>韓國、釜山</t>
  </si>
  <si>
    <t>個人決賽局對抗總分（12箭×3輪）</t>
  </si>
  <si>
    <t>團體排名賽（70M-72箭×3人）</t>
  </si>
  <si>
    <t>亞特蘭大奧運會</t>
  </si>
  <si>
    <t>85.7.28</t>
  </si>
  <si>
    <t>美國亞特蘭大</t>
  </si>
  <si>
    <t>廣島亞運會前賽</t>
  </si>
  <si>
    <t>83.07.18</t>
  </si>
  <si>
    <t>日本廣島</t>
  </si>
  <si>
    <t>團體決賽局總分（27箭×2輪）</t>
  </si>
  <si>
    <t>室內（INDOOR ROUND）</t>
  </si>
  <si>
    <t>25M</t>
  </si>
  <si>
    <t>秦秋月</t>
  </si>
  <si>
    <t>第一屆世界室內射箭錦標賽</t>
  </si>
  <si>
    <t>芬蘭奧陸市（OULU）體育館</t>
  </si>
  <si>
    <t>18M.</t>
  </si>
  <si>
    <t>第十屆全國室內射箭錦標賽</t>
  </si>
  <si>
    <t>82.01.06</t>
  </si>
  <si>
    <t>個人淘汰局對抗賽（18M-18箭）</t>
  </si>
  <si>
    <t>九十年全國室內賽</t>
  </si>
  <si>
    <t>90.01.10-12</t>
  </si>
  <si>
    <t>埔里高中</t>
  </si>
  <si>
    <t>個人決賽局對抗賽（18M-12箭）</t>
  </si>
  <si>
    <t>個人決賽局對抗賽總分（18M-12箭×3輪）</t>
  </si>
  <si>
    <t>范惠玲</t>
  </si>
  <si>
    <t xml:space="preserve">複合弓女子組 </t>
  </si>
  <si>
    <t>顏秀碧</t>
  </si>
  <si>
    <t>第十二屆亞洲射箭錦標賽</t>
  </si>
  <si>
    <t>90.12.10-15</t>
  </si>
  <si>
    <t>香港小西灣</t>
  </si>
  <si>
    <t>陳文靜</t>
  </si>
  <si>
    <t>亞洲盃國手選拔</t>
  </si>
  <si>
    <t>90.10.31-11</t>
  </si>
  <si>
    <t>國立體育學院</t>
  </si>
  <si>
    <t>施雅萍</t>
  </si>
  <si>
    <t>87年全國中正盃射箭錦標賽</t>
  </si>
  <si>
    <t>87.11.23-27</t>
  </si>
  <si>
    <t>台南長榮管理學院</t>
  </si>
  <si>
    <t>陳麗如</t>
  </si>
  <si>
    <t>第42屆世界射箭錦標賽</t>
  </si>
  <si>
    <t>92.07.14-22</t>
  </si>
  <si>
    <t>美國、紐約</t>
  </si>
  <si>
    <t>黃依婷</t>
  </si>
  <si>
    <t>89年全國會長盃射箭錦標賽</t>
  </si>
  <si>
    <t>89.04.20-24</t>
  </si>
  <si>
    <t>埔里國中</t>
  </si>
  <si>
    <t>個人排名賽（70M-72箭）</t>
  </si>
  <si>
    <t>第41屆世界盃國手選拔賽</t>
  </si>
  <si>
    <t>90.08.18-19</t>
  </si>
  <si>
    <t>亞洲盃國手選拔賽</t>
  </si>
  <si>
    <t>88.07.27</t>
  </si>
  <si>
    <t>法國、瑞莫</t>
  </si>
  <si>
    <t>第40屆世界盃國手選拔賽</t>
  </si>
  <si>
    <t>88.07.22-29</t>
  </si>
  <si>
    <t>施佩宜</t>
  </si>
  <si>
    <t>八十八年全國室內賽</t>
  </si>
  <si>
    <t>88.1.22-24</t>
  </si>
  <si>
    <t>國立體育學院.</t>
  </si>
  <si>
    <t>趙佴英</t>
  </si>
  <si>
    <t>八十六年全國室內賽</t>
  </si>
  <si>
    <t>86.12.28</t>
  </si>
  <si>
    <t>北市建成國中</t>
  </si>
  <si>
    <t>119黃彙雯  埔里高工</t>
  </si>
  <si>
    <t>87.08.29</t>
  </si>
  <si>
    <t>緬甸</t>
  </si>
  <si>
    <r>
      <t xml:space="preserve">單局333破全國
(劉碧瑜87.08.29緬甸 </t>
    </r>
    <r>
      <rPr>
        <b/>
        <sz val="12"/>
        <rFont val="標楷體"/>
        <family val="4"/>
      </rPr>
      <t>331記錄)</t>
    </r>
  </si>
  <si>
    <t>同分比較</t>
  </si>
  <si>
    <t>2004年希臘-雅典奧運會代表隊選拔賽（第四次複選）　　中華民國射箭協會</t>
  </si>
  <si>
    <t>單局335破全國
(劉碧瑜87.08.29緬甸 331記錄)
雙局664破全國
（袁叔琪93、05、04左訓657記錄）</t>
  </si>
  <si>
    <t>系統修訂：林裕勝 (成績請於30分內核對以便修正)</t>
  </si>
  <si>
    <t xml:space="preserve">2004年希臘-雅典奧運會代表隊選拔賽積分明細表  </t>
  </si>
  <si>
    <r>
      <t xml:space="preserve">組別:女子組         </t>
    </r>
    <r>
      <rPr>
        <sz val="12"/>
        <color indexed="12"/>
        <rFont val="標楷體"/>
        <family val="4"/>
      </rPr>
      <t>中華民國射箭協會</t>
    </r>
  </si>
  <si>
    <t>裁判長：                             競賽組：                        紀錄組：</t>
  </si>
  <si>
    <t>103吳蕙如 國立體院</t>
  </si>
  <si>
    <t>101劉碧瑜 北市射會</t>
  </si>
  <si>
    <t>114陳妍伶 新竹高商</t>
  </si>
  <si>
    <t>115戴瑞賢 新竹高商</t>
  </si>
  <si>
    <t>102蔡靜雯 高市射會</t>
  </si>
  <si>
    <t>113林吏佳 明德中學</t>
  </si>
  <si>
    <t>118曾麗文 埔里高工</t>
  </si>
  <si>
    <t>104李珮怡 國立體院</t>
  </si>
  <si>
    <t>120彭暐婷 花蓮體中</t>
  </si>
  <si>
    <t>112林華珊 明德中學</t>
  </si>
  <si>
    <t>110陳麗如 文化大學</t>
  </si>
  <si>
    <t>116陳馨怡 埔里高工</t>
  </si>
  <si>
    <t>117沈佳倩 埔里高工</t>
  </si>
  <si>
    <t>111袁叔琪 明德中學</t>
  </si>
  <si>
    <t>備註</t>
  </si>
  <si>
    <t>70公尺18支對抗賽
(個人淘汰局）破全國記錄
(袁叔琪 93年青年盃170)</t>
  </si>
  <si>
    <t>2004/05/07  系統修訂：林裕勝 (成績請於30分內核對以便修正)</t>
  </si>
  <si>
    <t>2004/05/06~07  系統修訂：林裕勝 (成績請於30分內核對以便修正)</t>
  </si>
  <si>
    <t>2004年希臘-雅典奧運會代表隊選拔賽（第三、四次複選）　　中華民國射箭協會</t>
  </si>
  <si>
    <t>117 埔里高工 沈佳倩</t>
  </si>
  <si>
    <t>117 埔里高工 沈佳倩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</si>
</sst>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;;;"/>
    <numFmt numFmtId="182" formatCode="0.0_ "/>
    <numFmt numFmtId="183" formatCode="0.00_ "/>
    <numFmt numFmtId="184" formatCode="[$-404]AM/PM\ hh:mm:ss"/>
    <numFmt numFmtId="185" formatCode="h:mm:ss;@"/>
    <numFmt numFmtId="186" formatCode="yyyy/m/d;@"/>
  </numFmts>
  <fonts count="2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8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color indexed="48"/>
      <name val="標楷體"/>
      <family val="4"/>
    </font>
    <font>
      <b/>
      <sz val="12"/>
      <color indexed="53"/>
      <name val="標楷體"/>
      <family val="4"/>
    </font>
    <font>
      <b/>
      <sz val="12"/>
      <color indexed="53"/>
      <name val="Times New Roman"/>
      <family val="1"/>
    </font>
    <font>
      <b/>
      <sz val="16"/>
      <color indexed="10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新細明體"/>
      <family val="1"/>
    </font>
    <font>
      <sz val="16"/>
      <color indexed="12"/>
      <name val="標楷體"/>
      <family val="4"/>
    </font>
    <font>
      <sz val="16"/>
      <color indexed="12"/>
      <name val="新細明體"/>
      <family val="1"/>
    </font>
    <font>
      <sz val="12"/>
      <color indexed="1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2"/>
      <color indexed="12"/>
      <name val="標楷體"/>
      <family val="4"/>
    </font>
    <font>
      <sz val="20"/>
      <name val="標楷體"/>
      <family val="4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dashDotDot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medium"/>
      <top style="thick"/>
      <bottom style="hair"/>
    </border>
    <border>
      <left style="medium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medium"/>
      <top style="thick"/>
      <bottom style="hair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medium">
        <color indexed="12"/>
      </left>
      <right style="medium">
        <color indexed="12"/>
      </right>
      <top style="thick"/>
      <bottom style="thin">
        <color indexed="12"/>
      </bottom>
    </border>
    <border>
      <left>
        <color indexed="63"/>
      </left>
      <right style="thin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medium"/>
      <right style="thin"/>
      <top style="double"/>
      <bottom style="thin"/>
    </border>
    <border>
      <left style="thin"/>
      <right style="thin"/>
      <top style="double"/>
      <bottom style="dashDotDot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>
        <color indexed="10"/>
      </bottom>
    </border>
    <border>
      <left style="thin"/>
      <right style="thin"/>
      <top style="medium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2" fillId="2" borderId="4" xfId="0" applyFont="1" applyFill="1" applyBorder="1" applyAlignment="1" applyProtection="1">
      <alignment horizontal="centerContinuous" vertical="center"/>
      <protection hidden="1"/>
    </xf>
    <xf numFmtId="0" fontId="2" fillId="3" borderId="3" xfId="0" applyFont="1" applyFill="1" applyBorder="1" applyAlignment="1" applyProtection="1">
      <alignment horizontal="centerContinuous" vertical="center"/>
      <protection hidden="1"/>
    </xf>
    <xf numFmtId="0" fontId="2" fillId="3" borderId="4" xfId="0" applyFont="1" applyFill="1" applyBorder="1" applyAlignment="1" applyProtection="1">
      <alignment horizontal="centerContinuous" vertical="center"/>
      <protection hidden="1"/>
    </xf>
    <xf numFmtId="0" fontId="2" fillId="4" borderId="3" xfId="0" applyFont="1" applyFill="1" applyBorder="1" applyAlignment="1" applyProtection="1">
      <alignment horizontal="centerContinuous" vertical="center"/>
      <protection hidden="1"/>
    </xf>
    <xf numFmtId="0" fontId="2" fillId="4" borderId="4" xfId="0" applyFont="1" applyFill="1" applyBorder="1" applyAlignment="1" applyProtection="1">
      <alignment horizontal="centerContinuous" vertical="center"/>
      <protection hidden="1"/>
    </xf>
    <xf numFmtId="0" fontId="2" fillId="5" borderId="3" xfId="0" applyFont="1" applyFill="1" applyBorder="1" applyAlignment="1" applyProtection="1">
      <alignment horizontal="centerContinuous" vertical="center"/>
      <protection hidden="1"/>
    </xf>
    <xf numFmtId="0" fontId="2" fillId="5" borderId="4" xfId="0" applyFont="1" applyFill="1" applyBorder="1" applyAlignment="1" applyProtection="1">
      <alignment horizontal="centerContinuous" vertical="center"/>
      <protection hidden="1"/>
    </xf>
    <xf numFmtId="0" fontId="2" fillId="6" borderId="5" xfId="0" applyFont="1" applyFill="1" applyBorder="1" applyAlignment="1" applyProtection="1">
      <alignment horizontal="centerContinuous" vertical="center"/>
      <protection hidden="1"/>
    </xf>
    <xf numFmtId="0" fontId="2" fillId="6" borderId="2" xfId="0" applyFont="1" applyFill="1" applyBorder="1" applyAlignment="1" applyProtection="1">
      <alignment horizontal="centerContinuous" vertical="center"/>
      <protection hidden="1"/>
    </xf>
    <xf numFmtId="0" fontId="2" fillId="6" borderId="6" xfId="0" applyFont="1" applyFill="1" applyBorder="1" applyAlignment="1" applyProtection="1">
      <alignment horizontal="centerContinuous" vertical="center"/>
      <protection hidden="1"/>
    </xf>
    <xf numFmtId="0" fontId="2" fillId="7" borderId="7" xfId="0" applyFont="1" applyFill="1" applyBorder="1" applyAlignment="1" applyProtection="1">
      <alignment horizontal="centerContinuous" vertical="center"/>
      <protection hidden="1"/>
    </xf>
    <xf numFmtId="0" fontId="2" fillId="8" borderId="1" xfId="0" applyFont="1" applyFill="1" applyBorder="1" applyAlignment="1" applyProtection="1">
      <alignment horizontal="centerContinuous" vertical="center"/>
      <protection hidden="1"/>
    </xf>
    <xf numFmtId="0" fontId="2" fillId="8" borderId="2" xfId="0" applyFont="1" applyFill="1" applyBorder="1" applyAlignment="1" applyProtection="1">
      <alignment horizontal="centerContinuous" vertical="center"/>
      <protection hidden="1"/>
    </xf>
    <xf numFmtId="0" fontId="2" fillId="0" borderId="5" xfId="0" applyFont="1" applyBorder="1" applyAlignment="1" applyProtection="1">
      <alignment horizontal="centerContinuous" vertical="center"/>
      <protection hidden="1"/>
    </xf>
    <xf numFmtId="0" fontId="2" fillId="0" borderId="8" xfId="0" applyFont="1" applyBorder="1" applyAlignment="1" applyProtection="1">
      <alignment horizontal="centerContinuous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7" borderId="13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176" fontId="2" fillId="0" borderId="36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37" xfId="0" applyNumberFormat="1" applyFont="1" applyBorder="1" applyAlignment="1" applyProtection="1">
      <alignment horizontal="centerContinuous" vertical="center" shrinkToFit="1"/>
      <protection hidden="1"/>
    </xf>
    <xf numFmtId="182" fontId="2" fillId="0" borderId="38" xfId="0" applyNumberFormat="1" applyFont="1" applyBorder="1" applyAlignment="1" applyProtection="1">
      <alignment horizontal="center" vertical="center"/>
      <protection hidden="1"/>
    </xf>
    <xf numFmtId="176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hidden="1"/>
    </xf>
    <xf numFmtId="176" fontId="10" fillId="0" borderId="40" xfId="0" applyNumberFormat="1" applyFont="1" applyBorder="1" applyAlignment="1" applyProtection="1">
      <alignment horizontal="center"/>
      <protection hidden="1"/>
    </xf>
    <xf numFmtId="176" fontId="9" fillId="0" borderId="40" xfId="0" applyNumberFormat="1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Continuous" vertical="center"/>
      <protection hidden="1"/>
    </xf>
    <xf numFmtId="0" fontId="2" fillId="8" borderId="8" xfId="0" applyFont="1" applyFill="1" applyBorder="1" applyAlignment="1" applyProtection="1">
      <alignment horizontal="centerContinuous" vertical="center"/>
      <protection hidden="1"/>
    </xf>
    <xf numFmtId="0" fontId="2" fillId="8" borderId="14" xfId="0" applyFont="1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vertical="center"/>
    </xf>
    <xf numFmtId="0" fontId="2" fillId="0" borderId="44" xfId="0" applyFont="1" applyBorder="1" applyAlignment="1" applyProtection="1">
      <alignment horizontal="center" vertical="center"/>
      <protection hidden="1"/>
    </xf>
    <xf numFmtId="176" fontId="2" fillId="0" borderId="45" xfId="0" applyNumberFormat="1" applyFont="1" applyBorder="1" applyAlignment="1" applyProtection="1">
      <alignment horizontal="center" vertical="center"/>
      <protection hidden="1"/>
    </xf>
    <xf numFmtId="176" fontId="2" fillId="0" borderId="26" xfId="0" applyNumberFormat="1" applyFont="1" applyBorder="1" applyAlignment="1" applyProtection="1">
      <alignment horizontal="center" vertical="center"/>
      <protection hidden="1"/>
    </xf>
    <xf numFmtId="181" fontId="2" fillId="0" borderId="0" xfId="0" applyNumberFormat="1" applyFont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185" fontId="2" fillId="0" borderId="0" xfId="0" applyNumberFormat="1" applyFont="1" applyAlignment="1" applyProtection="1">
      <alignment vertical="center"/>
      <protection hidden="1"/>
    </xf>
    <xf numFmtId="176" fontId="8" fillId="0" borderId="46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47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0" xfId="0" applyNumberFormat="1" applyFont="1" applyAlignment="1" applyProtection="1">
      <alignment horizontal="centerContinuous" vertical="center" shrinkToFit="1"/>
      <protection hidden="1"/>
    </xf>
    <xf numFmtId="176" fontId="2" fillId="0" borderId="48" xfId="0" applyNumberFormat="1" applyFont="1" applyBorder="1" applyAlignment="1" applyProtection="1">
      <alignment horizontal="center" vertical="center" textRotation="255"/>
      <protection hidden="1"/>
    </xf>
    <xf numFmtId="176" fontId="16" fillId="0" borderId="49" xfId="0" applyNumberFormat="1" applyFont="1" applyBorder="1" applyAlignment="1" applyProtection="1">
      <alignment horizontal="centerContinuous" vertical="center"/>
      <protection hidden="1"/>
    </xf>
    <xf numFmtId="176" fontId="6" fillId="0" borderId="49" xfId="0" applyNumberFormat="1" applyFont="1" applyBorder="1" applyAlignment="1" applyProtection="1">
      <alignment horizontal="centerContinuous" vertical="center"/>
      <protection hidden="1"/>
    </xf>
    <xf numFmtId="176" fontId="2" fillId="0" borderId="49" xfId="0" applyNumberFormat="1" applyFont="1" applyBorder="1" applyAlignment="1" applyProtection="1">
      <alignment horizontal="centerContinuous" vertical="center"/>
      <protection hidden="1"/>
    </xf>
    <xf numFmtId="176" fontId="2" fillId="0" borderId="37" xfId="0" applyNumberFormat="1" applyFont="1" applyBorder="1" applyAlignment="1" applyProtection="1">
      <alignment horizontal="centerContinuous" vertical="center"/>
      <protection hidden="1"/>
    </xf>
    <xf numFmtId="176" fontId="2" fillId="0" borderId="50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49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51" xfId="0" applyNumberFormat="1" applyFont="1" applyBorder="1" applyAlignment="1" applyProtection="1">
      <alignment horizontal="centerContinuous" vertical="center"/>
      <protection hidden="1"/>
    </xf>
    <xf numFmtId="176" fontId="2" fillId="0" borderId="52" xfId="0" applyNumberFormat="1" applyFont="1" applyBorder="1" applyAlignment="1" applyProtection="1">
      <alignment horizontal="centerContinuous" vertical="center"/>
      <protection hidden="1"/>
    </xf>
    <xf numFmtId="176" fontId="2" fillId="0" borderId="53" xfId="0" applyNumberFormat="1" applyFont="1" applyBorder="1" applyAlignment="1" applyProtection="1">
      <alignment horizontal="centerContinuous" vertical="center"/>
      <protection hidden="1"/>
    </xf>
    <xf numFmtId="176" fontId="2" fillId="0" borderId="54" xfId="0" applyNumberFormat="1" applyFont="1" applyBorder="1" applyAlignment="1" applyProtection="1">
      <alignment horizontal="centerContinuous" vertical="center"/>
      <protection hidden="1"/>
    </xf>
    <xf numFmtId="176" fontId="2" fillId="0" borderId="5" xfId="0" applyNumberFormat="1" applyFont="1" applyBorder="1" applyAlignment="1" applyProtection="1">
      <alignment horizontal="centerContinuous" vertical="center"/>
      <protection hidden="1"/>
    </xf>
    <xf numFmtId="176" fontId="2" fillId="0" borderId="2" xfId="0" applyNumberFormat="1" applyFont="1" applyBorder="1" applyAlignment="1" applyProtection="1">
      <alignment horizontal="centerContinuous" vertical="center"/>
      <protection hidden="1"/>
    </xf>
    <xf numFmtId="176" fontId="2" fillId="0" borderId="6" xfId="0" applyNumberFormat="1" applyFont="1" applyBorder="1" applyAlignment="1" applyProtection="1">
      <alignment horizontal="centerContinuous" vertical="center"/>
      <protection hidden="1"/>
    </xf>
    <xf numFmtId="176" fontId="2" fillId="0" borderId="1" xfId="0" applyNumberFormat="1" applyFont="1" applyBorder="1" applyAlignment="1" applyProtection="1">
      <alignment horizontal="centerContinuous" vertical="center"/>
      <protection hidden="1"/>
    </xf>
    <xf numFmtId="176" fontId="2" fillId="0" borderId="9" xfId="0" applyNumberFormat="1" applyFont="1" applyBorder="1" applyAlignment="1" applyProtection="1">
      <alignment horizontal="center" vertical="center" textRotation="255"/>
      <protection hidden="1"/>
    </xf>
    <xf numFmtId="176" fontId="2" fillId="0" borderId="10" xfId="0" applyNumberFormat="1" applyFont="1" applyBorder="1" applyAlignment="1" applyProtection="1">
      <alignment horizontal="center" vertical="center" textRotation="255"/>
      <protection hidden="1"/>
    </xf>
    <xf numFmtId="176" fontId="2" fillId="0" borderId="11" xfId="0" applyNumberFormat="1" applyFont="1" applyBorder="1" applyAlignment="1" applyProtection="1">
      <alignment horizontal="center" vertical="center" textRotation="255"/>
      <protection hidden="1"/>
    </xf>
    <xf numFmtId="176" fontId="2" fillId="0" borderId="55" xfId="0" applyNumberFormat="1" applyFont="1" applyBorder="1" applyAlignment="1" applyProtection="1">
      <alignment horizontal="center" vertical="center" textRotation="255"/>
      <protection hidden="1"/>
    </xf>
    <xf numFmtId="176" fontId="2" fillId="0" borderId="12" xfId="0" applyNumberFormat="1" applyFont="1" applyBorder="1" applyAlignment="1" applyProtection="1">
      <alignment horizontal="center" vertical="center" textRotation="255"/>
      <protection hidden="1"/>
    </xf>
    <xf numFmtId="176" fontId="2" fillId="0" borderId="0" xfId="0" applyNumberFormat="1" applyFont="1" applyAlignment="1" applyProtection="1">
      <alignment horizontal="center" vertical="center" textRotation="255"/>
      <protection hidden="1"/>
    </xf>
    <xf numFmtId="176" fontId="2" fillId="0" borderId="51" xfId="0" applyNumberFormat="1" applyFont="1" applyBorder="1" applyAlignment="1" applyProtection="1">
      <alignment horizontal="center" vertical="center"/>
      <protection hidden="1"/>
    </xf>
    <xf numFmtId="176" fontId="2" fillId="0" borderId="53" xfId="0" applyNumberFormat="1" applyFont="1" applyBorder="1" applyAlignment="1" applyProtection="1">
      <alignment horizontal="center" vertical="center"/>
      <protection hidden="1"/>
    </xf>
    <xf numFmtId="181" fontId="2" fillId="0" borderId="52" xfId="0" applyNumberFormat="1" applyFont="1" applyBorder="1" applyAlignment="1" applyProtection="1">
      <alignment horizontal="center" vertical="center"/>
      <protection hidden="1"/>
    </xf>
    <xf numFmtId="176" fontId="2" fillId="0" borderId="52" xfId="0" applyNumberFormat="1" applyFont="1" applyBorder="1" applyAlignment="1" applyProtection="1">
      <alignment horizontal="center" vertical="center"/>
      <protection hidden="1"/>
    </xf>
    <xf numFmtId="176" fontId="2" fillId="0" borderId="56" xfId="0" applyNumberFormat="1" applyFont="1" applyBorder="1" applyAlignment="1" applyProtection="1">
      <alignment horizontal="center" vertical="center"/>
      <protection hidden="1"/>
    </xf>
    <xf numFmtId="176" fontId="2" fillId="0" borderId="19" xfId="0" applyNumberFormat="1" applyFont="1" applyBorder="1" applyAlignment="1" applyProtection="1">
      <alignment horizontal="center" vertical="center"/>
      <protection hidden="1"/>
    </xf>
    <xf numFmtId="176" fontId="2" fillId="0" borderId="1" xfId="0" applyNumberFormat="1" applyFont="1" applyBorder="1" applyAlignment="1" applyProtection="1">
      <alignment horizontal="center" vertical="center"/>
      <protection hidden="1"/>
    </xf>
    <xf numFmtId="176" fontId="2" fillId="0" borderId="6" xfId="0" applyNumberFormat="1" applyFont="1" applyBorder="1" applyAlignment="1" applyProtection="1">
      <alignment horizontal="center" vertical="center"/>
      <protection hidden="1"/>
    </xf>
    <xf numFmtId="181" fontId="2" fillId="0" borderId="2" xfId="0" applyNumberFormat="1" applyFont="1" applyBorder="1" applyAlignment="1" applyProtection="1">
      <alignment horizontal="center" vertical="center"/>
      <protection hidden="1"/>
    </xf>
    <xf numFmtId="176" fontId="2" fillId="0" borderId="2" xfId="0" applyNumberFormat="1" applyFont="1" applyBorder="1" applyAlignment="1" applyProtection="1">
      <alignment horizontal="center" vertical="center"/>
      <protection hidden="1"/>
    </xf>
    <xf numFmtId="176" fontId="2" fillId="0" borderId="57" xfId="0" applyNumberFormat="1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12" fillId="0" borderId="59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76" fontId="2" fillId="0" borderId="9" xfId="0" applyNumberFormat="1" applyFont="1" applyBorder="1" applyAlignment="1" applyProtection="1">
      <alignment horizontal="center" vertical="center"/>
      <protection hidden="1"/>
    </xf>
    <xf numFmtId="181" fontId="2" fillId="0" borderId="10" xfId="0" applyNumberFormat="1" applyFont="1" applyBorder="1" applyAlignment="1" applyProtection="1">
      <alignment horizontal="center" vertical="center"/>
      <protection hidden="1"/>
    </xf>
    <xf numFmtId="176" fontId="2" fillId="0" borderId="10" xfId="0" applyNumberFormat="1" applyFont="1" applyBorder="1" applyAlignment="1" applyProtection="1">
      <alignment horizontal="center" vertical="center"/>
      <protection hidden="1"/>
    </xf>
    <xf numFmtId="176" fontId="2" fillId="0" borderId="11" xfId="0" applyNumberFormat="1" applyFont="1" applyBorder="1" applyAlignment="1" applyProtection="1">
      <alignment horizontal="center" vertical="center"/>
      <protection hidden="1"/>
    </xf>
    <xf numFmtId="176" fontId="2" fillId="0" borderId="60" xfId="0" applyNumberFormat="1" applyFont="1" applyBorder="1" applyAlignment="1" applyProtection="1">
      <alignment horizontal="center" vertical="center"/>
      <protection hidden="1"/>
    </xf>
    <xf numFmtId="176" fontId="2" fillId="0" borderId="8" xfId="0" applyNumberFormat="1" applyFont="1" applyBorder="1" applyAlignment="1" applyProtection="1">
      <alignment horizontal="center" vertical="center"/>
      <protection hidden="1"/>
    </xf>
    <xf numFmtId="176" fontId="2" fillId="0" borderId="14" xfId="0" applyNumberFormat="1" applyFont="1" applyBorder="1" applyAlignment="1" applyProtection="1">
      <alignment horizontal="center" vertical="center"/>
      <protection hidden="1"/>
    </xf>
    <xf numFmtId="176" fontId="2" fillId="0" borderId="51" xfId="0" applyNumberFormat="1" applyFont="1" applyBorder="1" applyAlignment="1" applyProtection="1">
      <alignment horizontal="center" vertical="center"/>
      <protection locked="0"/>
    </xf>
    <xf numFmtId="176" fontId="4" fillId="0" borderId="52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hidden="1"/>
    </xf>
    <xf numFmtId="0" fontId="2" fillId="10" borderId="26" xfId="0" applyFont="1" applyFill="1" applyBorder="1" applyAlignment="1" applyProtection="1">
      <alignment horizontal="center" vertical="center"/>
      <protection hidden="1"/>
    </xf>
    <xf numFmtId="0" fontId="23" fillId="0" borderId="0" xfId="15" applyFont="1" applyAlignment="1">
      <alignment horizontal="centerContinuous" vertical="center"/>
      <protection/>
    </xf>
    <xf numFmtId="0" fontId="3" fillId="0" borderId="0" xfId="15" applyFont="1" applyAlignment="1">
      <alignment horizontal="centerContinuous" vertical="center"/>
      <protection/>
    </xf>
    <xf numFmtId="0" fontId="3" fillId="0" borderId="0" xfId="15" applyFont="1" applyAlignment="1">
      <alignment horizontal="center" vertical="center"/>
      <protection/>
    </xf>
    <xf numFmtId="0" fontId="2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4" fillId="0" borderId="0" xfId="15" applyFont="1" applyBorder="1" applyAlignment="1">
      <alignment horizontal="centerContinuous" vertical="center"/>
      <protection/>
    </xf>
    <xf numFmtId="0" fontId="2" fillId="0" borderId="0" xfId="15" applyFont="1" applyAlignment="1">
      <alignment horizontal="centerContinuous" vertical="center"/>
      <protection/>
    </xf>
    <xf numFmtId="0" fontId="2" fillId="0" borderId="0" xfId="15" applyFont="1" applyAlignment="1">
      <alignment horizontal="center" vertical="center"/>
      <protection/>
    </xf>
    <xf numFmtId="0" fontId="6" fillId="0" borderId="0" xfId="15" applyFont="1" applyBorder="1" applyAlignment="1">
      <alignment horizontal="centerContinuous" vertical="center"/>
      <protection/>
    </xf>
    <xf numFmtId="0" fontId="2" fillId="0" borderId="0" xfId="15" applyFont="1" applyBorder="1" applyAlignment="1">
      <alignment horizontal="centerContinuous" vertical="center"/>
      <protection/>
    </xf>
    <xf numFmtId="0" fontId="6" fillId="0" borderId="51" xfId="15" applyFont="1" applyBorder="1" applyAlignment="1">
      <alignment horizontal="center" vertical="center"/>
      <protection/>
    </xf>
    <xf numFmtId="0" fontId="6" fillId="0" borderId="52" xfId="15" applyFont="1" applyBorder="1" applyAlignment="1">
      <alignment horizontal="center" vertical="center"/>
      <protection/>
    </xf>
    <xf numFmtId="0" fontId="6" fillId="0" borderId="53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6" fillId="0" borderId="52" xfId="16" applyFont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1" xfId="15" applyFont="1" applyBorder="1" applyAlignment="1">
      <alignment horizontal="center" vertical="center"/>
      <protection/>
    </xf>
    <xf numFmtId="0" fontId="2" fillId="0" borderId="23" xfId="15" applyFont="1" applyBorder="1" applyAlignment="1">
      <alignment horizontal="center" vertical="center"/>
      <protection/>
    </xf>
    <xf numFmtId="0" fontId="2" fillId="0" borderId="27" xfId="15" applyFont="1" applyBorder="1" applyAlignment="1">
      <alignment horizontal="center" vertical="center"/>
      <protection/>
    </xf>
    <xf numFmtId="0" fontId="2" fillId="0" borderId="6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15" applyFont="1" applyBorder="1" applyAlignment="1">
      <alignment horizontal="center" vertical="center"/>
      <protection/>
    </xf>
    <xf numFmtId="0" fontId="2" fillId="0" borderId="33" xfId="15" applyFont="1" applyBorder="1" applyAlignment="1">
      <alignment horizontal="center" vertical="center"/>
      <protection/>
    </xf>
    <xf numFmtId="0" fontId="2" fillId="0" borderId="25" xfId="15" applyFont="1" applyBorder="1" applyAlignment="1">
      <alignment horizontal="center" vertical="center"/>
      <protection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15" applyFont="1" applyBorder="1" applyAlignment="1">
      <alignment horizontal="center" vertical="center"/>
      <protection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64" xfId="15" applyFont="1" applyBorder="1" applyAlignment="1">
      <alignment horizontal="center" vertical="center"/>
      <protection/>
    </xf>
    <xf numFmtId="0" fontId="2" fillId="0" borderId="65" xfId="15" applyFont="1" applyBorder="1" applyAlignment="1">
      <alignment horizontal="center" vertical="center"/>
      <protection/>
    </xf>
    <xf numFmtId="0" fontId="2" fillId="0" borderId="66" xfId="15" applyFont="1" applyBorder="1" applyAlignment="1">
      <alignment horizontal="center" vertical="center"/>
      <protection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0" xfId="15" applyFont="1" applyAlignment="1">
      <alignment horizontal="centerContinuous" vertical="center"/>
      <protection/>
    </xf>
    <xf numFmtId="0" fontId="2" fillId="0" borderId="64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62" xfId="15" applyFont="1" applyBorder="1" applyAlignment="1">
      <alignment horizontal="center" vertical="center"/>
      <protection/>
    </xf>
    <xf numFmtId="0" fontId="2" fillId="0" borderId="63" xfId="15" applyFont="1" applyBorder="1" applyAlignment="1">
      <alignment horizontal="center" vertical="center"/>
      <protection/>
    </xf>
    <xf numFmtId="0" fontId="2" fillId="0" borderId="71" xfId="15" applyFont="1" applyBorder="1" applyAlignment="1">
      <alignment horizontal="center" vertical="center"/>
      <protection/>
    </xf>
    <xf numFmtId="0" fontId="2" fillId="0" borderId="48" xfId="15" applyFont="1" applyBorder="1" applyAlignment="1">
      <alignment horizontal="center" vertical="center"/>
      <protection/>
    </xf>
    <xf numFmtId="0" fontId="2" fillId="0" borderId="49" xfId="15" applyFont="1" applyBorder="1" applyAlignment="1">
      <alignment horizontal="center" vertical="center"/>
      <protection/>
    </xf>
    <xf numFmtId="0" fontId="2" fillId="0" borderId="37" xfId="15" applyFont="1" applyBorder="1" applyAlignment="1">
      <alignment horizontal="center" vertical="center"/>
      <protection/>
    </xf>
    <xf numFmtId="0" fontId="2" fillId="0" borderId="67" xfId="15" applyFont="1" applyBorder="1" applyAlignment="1">
      <alignment horizontal="center" vertical="center"/>
      <protection/>
    </xf>
    <xf numFmtId="0" fontId="2" fillId="0" borderId="68" xfId="15" applyFont="1" applyBorder="1" applyAlignment="1">
      <alignment horizontal="center" vertical="center"/>
      <protection/>
    </xf>
    <xf numFmtId="0" fontId="2" fillId="0" borderId="72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2" fillId="0" borderId="23" xfId="16" applyFont="1" applyBorder="1" applyAlignment="1">
      <alignment horizontal="center" vertical="center"/>
      <protection/>
    </xf>
    <xf numFmtId="0" fontId="2" fillId="0" borderId="33" xfId="16" applyFont="1" applyBorder="1" applyAlignment="1">
      <alignment horizontal="center" vertical="center"/>
      <protection/>
    </xf>
    <xf numFmtId="0" fontId="2" fillId="0" borderId="63" xfId="16" applyFont="1" applyBorder="1" applyAlignment="1">
      <alignment horizontal="center" vertical="center"/>
      <protection/>
    </xf>
    <xf numFmtId="14" fontId="2" fillId="0" borderId="63" xfId="15" applyNumberFormat="1" applyFont="1" applyBorder="1" applyAlignment="1">
      <alignment horizontal="center" vertical="center"/>
      <protection/>
    </xf>
    <xf numFmtId="0" fontId="2" fillId="0" borderId="49" xfId="16" applyFont="1" applyBorder="1" applyAlignment="1">
      <alignment horizontal="center" vertical="center"/>
      <protection/>
    </xf>
    <xf numFmtId="14" fontId="2" fillId="0" borderId="49" xfId="15" applyNumberFormat="1" applyFont="1" applyBorder="1" applyAlignment="1">
      <alignment horizontal="center" vertical="center"/>
      <protection/>
    </xf>
    <xf numFmtId="14" fontId="2" fillId="0" borderId="23" xfId="15" applyNumberFormat="1" applyFont="1" applyBorder="1" applyAlignment="1">
      <alignment horizontal="center" vertical="center"/>
      <protection/>
    </xf>
    <xf numFmtId="0" fontId="2" fillId="0" borderId="68" xfId="16" applyFont="1" applyBorder="1" applyAlignment="1">
      <alignment horizontal="center" vertical="center"/>
      <protection/>
    </xf>
    <xf numFmtId="14" fontId="2" fillId="0" borderId="68" xfId="15" applyNumberFormat="1" applyFont="1" applyBorder="1" applyAlignment="1">
      <alignment horizontal="center" vertical="center"/>
      <protection/>
    </xf>
    <xf numFmtId="0" fontId="2" fillId="0" borderId="73" xfId="15" applyFont="1" applyBorder="1" applyAlignment="1">
      <alignment horizontal="center" vertical="center"/>
      <protection/>
    </xf>
    <xf numFmtId="0" fontId="2" fillId="0" borderId="74" xfId="15" applyFont="1" applyBorder="1" applyAlignment="1">
      <alignment horizontal="center" vertical="center"/>
      <protection/>
    </xf>
    <xf numFmtId="0" fontId="2" fillId="0" borderId="75" xfId="15" applyFont="1" applyBorder="1" applyAlignment="1">
      <alignment horizontal="center" vertical="center"/>
      <protection/>
    </xf>
    <xf numFmtId="0" fontId="2" fillId="0" borderId="76" xfId="15" applyFont="1" applyBorder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176" fontId="9" fillId="0" borderId="78" xfId="0" applyNumberFormat="1" applyFont="1" applyBorder="1" applyAlignment="1" applyProtection="1">
      <alignment horizontal="center"/>
      <protection hidden="1"/>
    </xf>
    <xf numFmtId="0" fontId="9" fillId="0" borderId="78" xfId="0" applyFont="1" applyBorder="1" applyAlignment="1">
      <alignment horizontal="right" vertical="center"/>
    </xf>
    <xf numFmtId="0" fontId="2" fillId="0" borderId="79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2" fillId="0" borderId="81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82" xfId="0" applyFont="1" applyBorder="1" applyAlignment="1" applyProtection="1">
      <alignment horizontal="center" vertical="center"/>
      <protection hidden="1"/>
    </xf>
    <xf numFmtId="176" fontId="2" fillId="0" borderId="83" xfId="0" applyNumberFormat="1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176" fontId="10" fillId="0" borderId="85" xfId="0" applyNumberFormat="1" applyFont="1" applyBorder="1" applyAlignment="1" applyProtection="1">
      <alignment horizontal="center"/>
      <protection hidden="1"/>
    </xf>
    <xf numFmtId="0" fontId="9" fillId="0" borderId="85" xfId="0" applyFont="1" applyBorder="1" applyAlignment="1">
      <alignment horizontal="right" vertical="center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89" xfId="0" applyFont="1" applyBorder="1" applyAlignment="1" applyProtection="1">
      <alignment horizontal="center" vertical="center"/>
      <protection hidden="1"/>
    </xf>
    <xf numFmtId="0" fontId="2" fillId="0" borderId="90" xfId="0" applyFont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 vertical="center"/>
      <protection hidden="1"/>
    </xf>
    <xf numFmtId="0" fontId="2" fillId="0" borderId="92" xfId="0" applyFont="1" applyBorder="1" applyAlignment="1" applyProtection="1">
      <alignment horizontal="center" vertical="center"/>
      <protection hidden="1"/>
    </xf>
    <xf numFmtId="0" fontId="2" fillId="0" borderId="93" xfId="0" applyFont="1" applyBorder="1" applyAlignment="1" applyProtection="1">
      <alignment horizontal="center" vertical="center"/>
      <protection hidden="1"/>
    </xf>
    <xf numFmtId="176" fontId="2" fillId="0" borderId="94" xfId="0" applyNumberFormat="1" applyFont="1" applyBorder="1" applyAlignment="1" applyProtection="1">
      <alignment horizontal="center" vertical="center"/>
      <protection hidden="1"/>
    </xf>
    <xf numFmtId="0" fontId="2" fillId="0" borderId="95" xfId="0" applyFont="1" applyBorder="1" applyAlignment="1" applyProtection="1">
      <alignment horizontal="center" vertical="center"/>
      <protection hidden="1"/>
    </xf>
    <xf numFmtId="0" fontId="2" fillId="0" borderId="96" xfId="0" applyFont="1" applyBorder="1" applyAlignment="1" applyProtection="1">
      <alignment horizontal="center" vertical="center"/>
      <protection hidden="1"/>
    </xf>
    <xf numFmtId="176" fontId="2" fillId="0" borderId="46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Continuous" vertical="center"/>
      <protection hidden="1"/>
    </xf>
    <xf numFmtId="186" fontId="2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12" fillId="9" borderId="6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12" fillId="0" borderId="47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176" fontId="3" fillId="0" borderId="51" xfId="0" applyNumberFormat="1" applyFont="1" applyBorder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center" vertical="center"/>
      <protection hidden="1"/>
    </xf>
    <xf numFmtId="176" fontId="3" fillId="0" borderId="0" xfId="0" applyNumberFormat="1" applyFont="1" applyAlignment="1" applyProtection="1">
      <alignment horizontal="center" vertical="center"/>
      <protection hidden="1"/>
    </xf>
    <xf numFmtId="176" fontId="3" fillId="0" borderId="0" xfId="0" applyNumberFormat="1" applyFont="1" applyAlignment="1" applyProtection="1">
      <alignment horizontal="left" vertical="center"/>
      <protection hidden="1"/>
    </xf>
    <xf numFmtId="176" fontId="2" fillId="0" borderId="97" xfId="0" applyNumberFormat="1" applyFont="1" applyBorder="1" applyAlignment="1" applyProtection="1">
      <alignment horizontal="center" vertical="center"/>
      <protection hidden="1"/>
    </xf>
    <xf numFmtId="176" fontId="2" fillId="0" borderId="98" xfId="0" applyNumberFormat="1" applyFont="1" applyBorder="1" applyAlignment="1" applyProtection="1">
      <alignment horizontal="center" vertical="center"/>
      <protection hidden="1"/>
    </xf>
    <xf numFmtId="176" fontId="2" fillId="0" borderId="99" xfId="0" applyNumberFormat="1" applyFont="1" applyBorder="1" applyAlignment="1" applyProtection="1">
      <alignment horizontal="center" vertical="center"/>
      <protection hidden="1"/>
    </xf>
    <xf numFmtId="176" fontId="2" fillId="0" borderId="98" xfId="0" applyNumberFormat="1" applyFont="1" applyBorder="1" applyAlignment="1" applyProtection="1">
      <alignment horizontal="center" vertical="center" wrapText="1"/>
      <protection hidden="1"/>
    </xf>
    <xf numFmtId="176" fontId="2" fillId="0" borderId="39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46" xfId="0" applyNumberFormat="1" applyFont="1" applyBorder="1" applyAlignment="1" applyProtection="1">
      <alignment horizontal="centerContinuous" vertical="center" shrinkToFit="1"/>
      <protection hidden="1"/>
    </xf>
    <xf numFmtId="176" fontId="4" fillId="0" borderId="0" xfId="0" applyNumberFormat="1" applyFont="1" applyAlignment="1" applyProtection="1">
      <alignment horizontal="left" vertical="center"/>
      <protection hidden="1"/>
    </xf>
    <xf numFmtId="176" fontId="2" fillId="0" borderId="52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100" xfId="0" applyNumberFormat="1" applyFont="1" applyBorder="1" applyAlignment="1" applyProtection="1">
      <alignment horizontal="center" vertical="center"/>
      <protection locked="0"/>
    </xf>
    <xf numFmtId="176" fontId="2" fillId="0" borderId="101" xfId="0" applyNumberFormat="1" applyFont="1" applyBorder="1" applyAlignment="1" applyProtection="1">
      <alignment horizontal="center" vertical="center"/>
      <protection locked="0"/>
    </xf>
    <xf numFmtId="176" fontId="2" fillId="0" borderId="34" xfId="0" applyNumberFormat="1" applyFont="1" applyBorder="1" applyAlignment="1" applyProtection="1">
      <alignment horizontal="center" vertical="center"/>
      <protection locked="0"/>
    </xf>
    <xf numFmtId="176" fontId="2" fillId="0" borderId="102" xfId="0" applyNumberFormat="1" applyFont="1" applyBorder="1" applyAlignment="1" applyProtection="1">
      <alignment horizontal="center" vertical="center"/>
      <protection locked="0"/>
    </xf>
    <xf numFmtId="176" fontId="2" fillId="0" borderId="103" xfId="0" applyNumberFormat="1" applyFont="1" applyBorder="1" applyAlignment="1" applyProtection="1">
      <alignment horizontal="center" vertical="center"/>
      <protection locked="0"/>
    </xf>
    <xf numFmtId="176" fontId="2" fillId="0" borderId="104" xfId="0" applyNumberFormat="1" applyFont="1" applyBorder="1" applyAlignment="1" applyProtection="1">
      <alignment horizontal="center" vertical="center"/>
      <protection locked="0"/>
    </xf>
    <xf numFmtId="176" fontId="2" fillId="0" borderId="105" xfId="0" applyNumberFormat="1" applyFont="1" applyBorder="1" applyAlignment="1" applyProtection="1">
      <alignment horizontal="center" vertical="center"/>
      <protection locked="0"/>
    </xf>
    <xf numFmtId="176" fontId="2" fillId="0" borderId="106" xfId="0" applyNumberFormat="1" applyFont="1" applyBorder="1" applyAlignment="1" applyProtection="1">
      <alignment horizontal="center" vertical="center"/>
      <protection locked="0"/>
    </xf>
    <xf numFmtId="176" fontId="4" fillId="0" borderId="52" xfId="0" applyNumberFormat="1" applyFont="1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 applyProtection="1">
      <alignment horizontal="center" vertical="center"/>
      <protection hidden="1"/>
    </xf>
    <xf numFmtId="176" fontId="4" fillId="0" borderId="10" xfId="0" applyNumberFormat="1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 shrinkToFit="1"/>
      <protection hidden="1"/>
    </xf>
    <xf numFmtId="0" fontId="12" fillId="0" borderId="70" xfId="0" applyFont="1" applyBorder="1" applyAlignment="1" applyProtection="1">
      <alignment horizontal="center" vertical="center" shrinkToFit="1"/>
      <protection hidden="1"/>
    </xf>
    <xf numFmtId="0" fontId="2" fillId="0" borderId="74" xfId="0" applyFont="1" applyBorder="1" applyAlignment="1" applyProtection="1">
      <alignment horizontal="center" vertical="center" shrinkToFit="1"/>
      <protection hidden="1"/>
    </xf>
    <xf numFmtId="0" fontId="2" fillId="0" borderId="76" xfId="0" applyFont="1" applyBorder="1" applyAlignment="1" applyProtection="1">
      <alignment horizontal="center" vertical="center" shrinkToFit="1"/>
      <protection hidden="1"/>
    </xf>
    <xf numFmtId="0" fontId="2" fillId="0" borderId="107" xfId="0" applyFont="1" applyBorder="1" applyAlignment="1" applyProtection="1">
      <alignment horizontal="center" vertical="center" shrinkToFit="1"/>
      <protection hidden="1"/>
    </xf>
    <xf numFmtId="0" fontId="12" fillId="0" borderId="108" xfId="0" applyFont="1" applyBorder="1" applyAlignment="1" applyProtection="1">
      <alignment horizontal="center" vertical="center" shrinkToFit="1"/>
      <protection hidden="1"/>
    </xf>
    <xf numFmtId="0" fontId="2" fillId="0" borderId="109" xfId="0" applyFont="1" applyBorder="1" applyAlignment="1" applyProtection="1">
      <alignment horizontal="center" vertical="center" shrinkToFit="1"/>
      <protection hidden="1"/>
    </xf>
    <xf numFmtId="0" fontId="2" fillId="0" borderId="110" xfId="0" applyFont="1" applyBorder="1" applyAlignment="1" applyProtection="1">
      <alignment horizontal="center" vertical="center" shrinkToFit="1"/>
      <protection hidden="1"/>
    </xf>
    <xf numFmtId="176" fontId="2" fillId="0" borderId="6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1" xfId="0" applyNumberFormat="1" applyFont="1" applyBorder="1" applyAlignment="1" applyProtection="1">
      <alignment horizontal="center" vertical="center" textRotation="255" shrinkToFit="1"/>
      <protection hidden="1"/>
    </xf>
    <xf numFmtId="0" fontId="2" fillId="0" borderId="111" xfId="0" applyFont="1" applyBorder="1" applyAlignment="1" applyProtection="1">
      <alignment horizontal="center" vertical="center" shrinkToFit="1"/>
      <protection hidden="1"/>
    </xf>
    <xf numFmtId="0" fontId="12" fillId="0" borderId="112" xfId="0" applyFont="1" applyBorder="1" applyAlignment="1" applyProtection="1">
      <alignment horizontal="center" vertical="center" shrinkToFit="1"/>
      <protection hidden="1"/>
    </xf>
    <xf numFmtId="0" fontId="2" fillId="0" borderId="113" xfId="0" applyFont="1" applyBorder="1" applyAlignment="1" applyProtection="1">
      <alignment horizontal="center" vertical="center" shrinkToFit="1"/>
      <protection hidden="1"/>
    </xf>
    <xf numFmtId="0" fontId="2" fillId="0" borderId="114" xfId="0" applyFont="1" applyBorder="1" applyAlignment="1" applyProtection="1">
      <alignment horizontal="center" vertical="center" shrinkToFit="1"/>
      <protection hidden="1"/>
    </xf>
    <xf numFmtId="0" fontId="2" fillId="0" borderId="115" xfId="0" applyFont="1" applyBorder="1" applyAlignment="1" applyProtection="1">
      <alignment horizontal="center" vertical="center" shrinkToFit="1"/>
      <protection hidden="1"/>
    </xf>
    <xf numFmtId="0" fontId="12" fillId="0" borderId="116" xfId="0" applyFont="1" applyBorder="1" applyAlignment="1" applyProtection="1">
      <alignment horizontal="center" vertical="center" shrinkToFit="1"/>
      <protection hidden="1"/>
    </xf>
    <xf numFmtId="0" fontId="2" fillId="0" borderId="117" xfId="0" applyFont="1" applyBorder="1" applyAlignment="1" applyProtection="1">
      <alignment horizontal="center" vertical="center" shrinkToFit="1"/>
      <protection hidden="1"/>
    </xf>
    <xf numFmtId="0" fontId="2" fillId="0" borderId="118" xfId="0" applyFont="1" applyBorder="1" applyAlignment="1" applyProtection="1">
      <alignment horizontal="center" vertical="center" shrinkToFit="1"/>
      <protection hidden="1"/>
    </xf>
    <xf numFmtId="0" fontId="3" fillId="0" borderId="119" xfId="0" applyFont="1" applyBorder="1" applyAlignment="1" applyProtection="1">
      <alignment horizontal="left" vertical="center" shrinkToFit="1"/>
      <protection hidden="1"/>
    </xf>
    <xf numFmtId="0" fontId="19" fillId="0" borderId="120" xfId="0" applyFont="1" applyBorder="1" applyAlignment="1">
      <alignment horizontal="left" vertical="center"/>
    </xf>
    <xf numFmtId="0" fontId="19" fillId="0" borderId="121" xfId="0" applyFont="1" applyBorder="1" applyAlignment="1">
      <alignment horizontal="left" vertical="center"/>
    </xf>
    <xf numFmtId="0" fontId="20" fillId="0" borderId="119" xfId="0" applyFont="1" applyBorder="1" applyAlignment="1" applyProtection="1">
      <alignment horizontal="left" vertical="center" shrinkToFit="1"/>
      <protection hidden="1"/>
    </xf>
    <xf numFmtId="0" fontId="21" fillId="0" borderId="120" xfId="0" applyFont="1" applyBorder="1" applyAlignment="1">
      <alignment horizontal="left" vertical="center"/>
    </xf>
    <xf numFmtId="0" fontId="21" fillId="0" borderId="121" xfId="0" applyFont="1" applyBorder="1" applyAlignment="1">
      <alignment horizontal="left" vertical="center"/>
    </xf>
    <xf numFmtId="176" fontId="3" fillId="0" borderId="122" xfId="0" applyNumberFormat="1" applyFont="1" applyBorder="1" applyAlignment="1" applyProtection="1">
      <alignment horizontal="center" vertical="center" wrapText="1"/>
      <protection hidden="1"/>
    </xf>
    <xf numFmtId="0" fontId="0" fillId="0" borderId="123" xfId="0" applyBorder="1" applyAlignment="1" applyProtection="1">
      <alignment vertical="center"/>
      <protection hidden="1"/>
    </xf>
    <xf numFmtId="176" fontId="26" fillId="0" borderId="124" xfId="0" applyNumberFormat="1" applyFont="1" applyBorder="1" applyAlignment="1" applyProtection="1">
      <alignment horizontal="center" vertical="center"/>
      <protection hidden="1"/>
    </xf>
    <xf numFmtId="0" fontId="0" fillId="0" borderId="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0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60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8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4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24" xfId="0" applyNumberFormat="1" applyFont="1" applyBorder="1" applyAlignment="1" applyProtection="1">
      <alignment horizontal="center" vertical="top" textRotation="255" wrapText="1"/>
      <protection hidden="1"/>
    </xf>
    <xf numFmtId="176" fontId="2" fillId="0" borderId="78" xfId="0" applyNumberFormat="1" applyFont="1" applyBorder="1" applyAlignment="1" applyProtection="1">
      <alignment horizontal="center" vertical="top" textRotation="255"/>
      <protection hidden="1"/>
    </xf>
    <xf numFmtId="176" fontId="2" fillId="0" borderId="40" xfId="0" applyNumberFormat="1" applyFont="1" applyBorder="1" applyAlignment="1" applyProtection="1">
      <alignment horizontal="center" vertical="top" textRotation="255"/>
      <protection hidden="1"/>
    </xf>
    <xf numFmtId="176" fontId="2" fillId="0" borderId="51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9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53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5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2" xfId="0" applyNumberFormat="1" applyFont="1" applyBorder="1" applyAlignment="1" applyProtection="1">
      <alignment horizontal="center" vertical="center" textRotation="255" shrinkToFit="1"/>
      <protection hidden="1"/>
    </xf>
    <xf numFmtId="176" fontId="0" fillId="0" borderId="1" xfId="0" applyNumberFormat="1" applyBorder="1" applyAlignment="1" applyProtection="1">
      <alignment horizontal="center" vertical="center" textRotation="255" shrinkToFit="1"/>
      <protection hidden="1"/>
    </xf>
    <xf numFmtId="176" fontId="0" fillId="0" borderId="9" xfId="0" applyNumberFormat="1" applyBorder="1" applyAlignment="1" applyProtection="1">
      <alignment horizontal="center" vertical="center" textRotation="255" shrinkToFit="1"/>
      <protection hidden="1"/>
    </xf>
    <xf numFmtId="176" fontId="2" fillId="0" borderId="52" xfId="0" applyNumberFormat="1" applyFont="1" applyBorder="1" applyAlignment="1" applyProtection="1">
      <alignment horizontal="center" vertical="center" textRotation="255" shrinkToFit="1"/>
      <protection hidden="1"/>
    </xf>
    <xf numFmtId="176" fontId="0" fillId="0" borderId="2" xfId="0" applyNumberFormat="1" applyBorder="1" applyAlignment="1" applyProtection="1">
      <alignment horizontal="center" vertical="center" textRotation="255" shrinkToFit="1"/>
      <protection hidden="1"/>
    </xf>
    <xf numFmtId="176" fontId="0" fillId="0" borderId="10" xfId="0" applyNumberFormat="1" applyBorder="1" applyAlignment="1" applyProtection="1">
      <alignment horizontal="center" vertical="center" textRotation="255" shrinkToFit="1"/>
      <protection hidden="1"/>
    </xf>
    <xf numFmtId="176" fontId="0" fillId="0" borderId="6" xfId="0" applyNumberFormat="1" applyBorder="1" applyAlignment="1" applyProtection="1">
      <alignment horizontal="center" vertical="center" textRotation="255" shrinkToFit="1"/>
      <protection hidden="1"/>
    </xf>
    <xf numFmtId="176" fontId="0" fillId="0" borderId="11" xfId="0" applyNumberFormat="1" applyBorder="1" applyAlignment="1" applyProtection="1">
      <alignment horizontal="center" vertical="center" textRotation="255" shrinkToFit="1"/>
      <protection hidden="1"/>
    </xf>
    <xf numFmtId="176" fontId="2" fillId="0" borderId="70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49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68" xfId="0" applyNumberFormat="1" applyFont="1" applyBorder="1" applyAlignment="1" applyProtection="1">
      <alignment horizontal="center" vertical="center" textRotation="255" shrinkToFit="1"/>
      <protection hidden="1"/>
    </xf>
    <xf numFmtId="176" fontId="13" fillId="0" borderId="51" xfId="0" applyNumberFormat="1" applyFont="1" applyBorder="1" applyAlignment="1" applyProtection="1">
      <alignment horizontal="center" vertical="center" textRotation="255"/>
      <protection hidden="1"/>
    </xf>
    <xf numFmtId="176" fontId="12" fillId="0" borderId="1" xfId="0" applyNumberFormat="1" applyFont="1" applyBorder="1" applyAlignment="1" applyProtection="1">
      <alignment horizontal="center" vertical="center" textRotation="255"/>
      <protection hidden="1"/>
    </xf>
    <xf numFmtId="176" fontId="12" fillId="0" borderId="9" xfId="0" applyNumberFormat="1" applyFont="1" applyBorder="1" applyAlignment="1" applyProtection="1">
      <alignment horizontal="center" vertical="center" textRotation="255"/>
      <protection hidden="1"/>
    </xf>
    <xf numFmtId="176" fontId="13" fillId="0" borderId="52" xfId="0" applyNumberFormat="1" applyFont="1" applyBorder="1" applyAlignment="1" applyProtection="1">
      <alignment horizontal="center" vertical="center" textRotation="255" shrinkToFit="1"/>
      <protection hidden="1"/>
    </xf>
    <xf numFmtId="176" fontId="12" fillId="0" borderId="2" xfId="0" applyNumberFormat="1" applyFont="1" applyBorder="1" applyAlignment="1" applyProtection="1">
      <alignment horizontal="center" vertical="center" textRotation="255" shrinkToFit="1"/>
      <protection hidden="1"/>
    </xf>
    <xf numFmtId="176" fontId="12" fillId="0" borderId="10" xfId="0" applyNumberFormat="1" applyFont="1" applyBorder="1" applyAlignment="1" applyProtection="1">
      <alignment horizontal="center" vertical="center" textRotation="255" shrinkToFit="1"/>
      <protection hidden="1"/>
    </xf>
    <xf numFmtId="176" fontId="13" fillId="0" borderId="53" xfId="0" applyNumberFormat="1" applyFont="1" applyBorder="1" applyAlignment="1" applyProtection="1">
      <alignment horizontal="center" vertical="center" textRotation="255" shrinkToFit="1"/>
      <protection hidden="1"/>
    </xf>
    <xf numFmtId="176" fontId="9" fillId="0" borderId="6" xfId="0" applyNumberFormat="1" applyFont="1" applyBorder="1" applyAlignment="1" applyProtection="1">
      <alignment horizontal="center" vertical="center" textRotation="255" shrinkToFit="1"/>
      <protection hidden="1"/>
    </xf>
    <xf numFmtId="176" fontId="9" fillId="0" borderId="11" xfId="0" applyNumberFormat="1" applyFont="1" applyBorder="1" applyAlignment="1" applyProtection="1">
      <alignment horizontal="center" vertical="center" textRotation="255" shrinkToFit="1"/>
      <protection hidden="1"/>
    </xf>
    <xf numFmtId="176" fontId="12" fillId="0" borderId="70" xfId="0" applyNumberFormat="1" applyFont="1" applyBorder="1" applyAlignment="1" applyProtection="1">
      <alignment horizontal="center" vertical="center" textRotation="255" shrinkToFit="1"/>
      <protection hidden="1"/>
    </xf>
    <xf numFmtId="176" fontId="12" fillId="0" borderId="49" xfId="0" applyNumberFormat="1" applyFont="1" applyBorder="1" applyAlignment="1" applyProtection="1">
      <alignment horizontal="center" vertical="center" textRotation="255" shrinkToFit="1"/>
      <protection hidden="1"/>
    </xf>
    <xf numFmtId="176" fontId="12" fillId="0" borderId="68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" xfId="0" applyNumberFormat="1" applyFont="1" applyBorder="1" applyAlignment="1" applyProtection="1">
      <alignment horizontal="center" vertical="center" textRotation="255"/>
      <protection hidden="1"/>
    </xf>
    <xf numFmtId="176" fontId="2" fillId="0" borderId="9" xfId="0" applyNumberFormat="1" applyFont="1" applyBorder="1" applyAlignment="1" applyProtection="1">
      <alignment horizontal="center" vertical="center" textRotation="255"/>
      <protection hidden="1"/>
    </xf>
    <xf numFmtId="176" fontId="2" fillId="0" borderId="2" xfId="0" applyNumberFormat="1" applyFont="1" applyBorder="1" applyAlignment="1" applyProtection="1">
      <alignment horizontal="center" vertical="center" textRotation="255"/>
      <protection hidden="1"/>
    </xf>
    <xf numFmtId="176" fontId="2" fillId="0" borderId="10" xfId="0" applyNumberFormat="1" applyFont="1" applyBorder="1" applyAlignment="1" applyProtection="1">
      <alignment horizontal="center" vertical="center" textRotation="255"/>
      <protection hidden="1"/>
    </xf>
    <xf numFmtId="176" fontId="2" fillId="0" borderId="125" xfId="0" applyNumberFormat="1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126" xfId="0" applyBorder="1" applyAlignment="1" applyProtection="1">
      <alignment horizontal="center" vertical="center"/>
      <protection hidden="1"/>
    </xf>
    <xf numFmtId="0" fontId="0" fillId="0" borderId="127" xfId="0" applyBorder="1" applyAlignment="1" applyProtection="1">
      <alignment horizontal="center" vertical="center"/>
      <protection hidden="1"/>
    </xf>
    <xf numFmtId="176" fontId="2" fillId="0" borderId="6" xfId="0" applyNumberFormat="1" applyFont="1" applyBorder="1" applyAlignment="1" applyProtection="1">
      <alignment horizontal="center" vertical="center" textRotation="255"/>
      <protection hidden="1"/>
    </xf>
    <xf numFmtId="176" fontId="2" fillId="0" borderId="11" xfId="0" applyNumberFormat="1" applyFont="1" applyBorder="1" applyAlignment="1" applyProtection="1">
      <alignment horizontal="center" vertical="center" textRotation="255"/>
      <protection hidden="1"/>
    </xf>
    <xf numFmtId="0" fontId="0" fillId="0" borderId="120" xfId="0" applyBorder="1" applyAlignment="1">
      <alignment horizontal="left" vertical="center" shrinkToFit="1"/>
    </xf>
    <xf numFmtId="0" fontId="0" fillId="0" borderId="121" xfId="0" applyBorder="1" applyAlignment="1">
      <alignment horizontal="left" vertical="center" shrinkToFit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0" fillId="10" borderId="74" xfId="0" applyFill="1" applyBorder="1" applyAlignment="1">
      <alignment vertical="center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128" xfId="0" applyFont="1" applyBorder="1" applyAlignment="1" applyProtection="1">
      <alignment horizontal="center" vertical="center" textRotation="255"/>
      <protection hidden="1"/>
    </xf>
    <xf numFmtId="0" fontId="5" fillId="0" borderId="76" xfId="0" applyFont="1" applyBorder="1" applyAlignment="1" applyProtection="1">
      <alignment horizontal="center" vertical="center" textRotation="255" wrapText="1"/>
      <protection hidden="1"/>
    </xf>
    <xf numFmtId="0" fontId="5" fillId="0" borderId="72" xfId="0" applyFont="1" applyBorder="1" applyAlignment="1" applyProtection="1">
      <alignment horizontal="center" vertical="center" textRotation="255"/>
      <protection hidden="1"/>
    </xf>
    <xf numFmtId="0" fontId="3" fillId="0" borderId="129" xfId="0" applyFont="1" applyBorder="1" applyAlignment="1" applyProtection="1">
      <alignment horizontal="left" vertical="center"/>
      <protection hidden="1"/>
    </xf>
    <xf numFmtId="0" fontId="0" fillId="0" borderId="3" xfId="0" applyBorder="1" applyAlignment="1">
      <alignment vertical="center"/>
    </xf>
  </cellXfs>
  <cellStyles count="10">
    <cellStyle name="Normal" xfId="0"/>
    <cellStyle name="一般_全國射箭記錄" xfId="15"/>
    <cellStyle name="一般_全國射箭記錄(男)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dxfs count="4"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0000FF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H16" sqref="H16"/>
    </sheetView>
  </sheetViews>
  <sheetFormatPr defaultColWidth="9.00390625" defaultRowHeight="16.5"/>
  <cols>
    <col min="2" max="2" width="32.50390625" style="0" customWidth="1"/>
  </cols>
  <sheetData>
    <row r="1" spans="1:7" ht="21.75" thickBot="1">
      <c r="A1" s="124"/>
      <c r="B1" s="303" t="s">
        <v>308</v>
      </c>
      <c r="C1" s="304"/>
      <c r="D1" s="304"/>
      <c r="E1" s="304"/>
      <c r="F1" s="304"/>
      <c r="G1" s="305"/>
    </row>
    <row r="2" spans="1:7" ht="21.75" thickBot="1">
      <c r="A2" s="252"/>
      <c r="B2" s="306" t="s">
        <v>309</v>
      </c>
      <c r="C2" s="307"/>
      <c r="D2" s="307"/>
      <c r="E2" s="307"/>
      <c r="F2" s="307"/>
      <c r="G2" s="308"/>
    </row>
    <row r="3" spans="1:7" ht="21">
      <c r="A3" s="252"/>
      <c r="B3" s="303" t="s">
        <v>104</v>
      </c>
      <c r="C3" s="304"/>
      <c r="D3" s="304"/>
      <c r="E3" s="304"/>
      <c r="F3" s="304"/>
      <c r="G3" s="305"/>
    </row>
    <row r="4" spans="1:7" ht="39.75" thickBot="1">
      <c r="A4" s="21" t="s">
        <v>103</v>
      </c>
      <c r="B4" s="143" t="s">
        <v>128</v>
      </c>
      <c r="C4" s="125" t="s">
        <v>105</v>
      </c>
      <c r="D4" s="125" t="s">
        <v>106</v>
      </c>
      <c r="E4" s="125" t="s">
        <v>107</v>
      </c>
      <c r="F4" s="125" t="s">
        <v>108</v>
      </c>
      <c r="G4" s="253" t="s">
        <v>50</v>
      </c>
    </row>
    <row r="5" spans="1:7" ht="20.25" thickBot="1">
      <c r="A5" s="254">
        <v>1</v>
      </c>
      <c r="B5" s="127" t="s">
        <v>112</v>
      </c>
      <c r="C5" s="126">
        <v>10</v>
      </c>
      <c r="D5" s="126">
        <v>20</v>
      </c>
      <c r="E5" s="126">
        <v>29.1</v>
      </c>
      <c r="F5" s="126"/>
      <c r="G5" s="255">
        <v>59.1</v>
      </c>
    </row>
    <row r="6" spans="1:7" ht="20.25" thickBot="1">
      <c r="A6" s="254">
        <v>2</v>
      </c>
      <c r="B6" s="127" t="s">
        <v>113</v>
      </c>
      <c r="C6" s="126">
        <v>6.8</v>
      </c>
      <c r="D6" s="126">
        <v>17.4</v>
      </c>
      <c r="E6" s="126">
        <v>27.9</v>
      </c>
      <c r="F6" s="126"/>
      <c r="G6" s="255">
        <v>52.1</v>
      </c>
    </row>
    <row r="7" spans="1:7" ht="20.25" thickBot="1">
      <c r="A7" s="254">
        <v>3</v>
      </c>
      <c r="B7" s="127" t="s">
        <v>119</v>
      </c>
      <c r="C7" s="126">
        <v>3.1</v>
      </c>
      <c r="D7" s="126">
        <v>9.2</v>
      </c>
      <c r="E7" s="126">
        <v>24</v>
      </c>
      <c r="F7" s="126"/>
      <c r="G7" s="255">
        <v>36.3</v>
      </c>
    </row>
    <row r="8" spans="1:7" ht="20.25" thickBot="1">
      <c r="A8" s="254">
        <v>4</v>
      </c>
      <c r="B8" s="127" t="s">
        <v>115</v>
      </c>
      <c r="C8" s="126">
        <v>4.5</v>
      </c>
      <c r="D8" s="126">
        <v>14</v>
      </c>
      <c r="E8" s="126">
        <v>14.1</v>
      </c>
      <c r="F8" s="126"/>
      <c r="G8" s="255">
        <v>32.6</v>
      </c>
    </row>
    <row r="9" spans="1:7" ht="20.25" thickBot="1">
      <c r="A9" s="254">
        <v>5</v>
      </c>
      <c r="B9" s="127" t="s">
        <v>116</v>
      </c>
      <c r="C9" s="126">
        <v>0.4</v>
      </c>
      <c r="D9" s="126">
        <v>14.2</v>
      </c>
      <c r="E9" s="126">
        <v>12.3</v>
      </c>
      <c r="F9" s="126"/>
      <c r="G9" s="255">
        <v>26.9</v>
      </c>
    </row>
    <row r="10" spans="1:7" ht="20.25" thickBot="1">
      <c r="A10" s="254">
        <v>6</v>
      </c>
      <c r="B10" s="127" t="s">
        <v>114</v>
      </c>
      <c r="C10" s="126">
        <v>7.5</v>
      </c>
      <c r="D10" s="126">
        <v>11.4</v>
      </c>
      <c r="E10" s="126">
        <v>7.8</v>
      </c>
      <c r="F10" s="126"/>
      <c r="G10" s="255">
        <v>26.7</v>
      </c>
    </row>
    <row r="11" spans="1:7" ht="20.25" thickBot="1">
      <c r="A11" s="254">
        <v>7</v>
      </c>
      <c r="B11" s="127" t="s">
        <v>117</v>
      </c>
      <c r="C11" s="126">
        <v>6.8</v>
      </c>
      <c r="D11" s="126">
        <v>6.2</v>
      </c>
      <c r="E11" s="126">
        <v>12.6</v>
      </c>
      <c r="F11" s="126"/>
      <c r="G11" s="255">
        <v>25.6</v>
      </c>
    </row>
    <row r="12" spans="1:7" ht="20.25" thickBot="1">
      <c r="A12" s="254">
        <v>8</v>
      </c>
      <c r="B12" s="127" t="s">
        <v>120</v>
      </c>
      <c r="C12" s="126">
        <v>5</v>
      </c>
      <c r="D12" s="126">
        <v>2</v>
      </c>
      <c r="E12" s="126">
        <v>18</v>
      </c>
      <c r="F12" s="126"/>
      <c r="G12" s="255">
        <v>25</v>
      </c>
    </row>
    <row r="13" spans="1:7" ht="20.25" thickBot="1">
      <c r="A13" s="285">
        <v>9</v>
      </c>
      <c r="B13" s="286" t="s">
        <v>118</v>
      </c>
      <c r="C13" s="287">
        <v>1</v>
      </c>
      <c r="D13" s="287">
        <v>11.8</v>
      </c>
      <c r="E13" s="287">
        <v>10.5</v>
      </c>
      <c r="F13" s="287"/>
      <c r="G13" s="288">
        <v>23.3</v>
      </c>
    </row>
    <row r="14" spans="1:7" ht="21" thickBot="1" thickTop="1">
      <c r="A14" s="289">
        <v>10</v>
      </c>
      <c r="B14" s="290" t="s">
        <v>123</v>
      </c>
      <c r="C14" s="291">
        <v>5.5</v>
      </c>
      <c r="D14" s="291">
        <v>0</v>
      </c>
      <c r="E14" s="291">
        <v>6</v>
      </c>
      <c r="F14" s="291"/>
      <c r="G14" s="292">
        <v>11.5</v>
      </c>
    </row>
    <row r="15" spans="1:7" ht="20.25" thickBot="1">
      <c r="A15" s="254">
        <v>11</v>
      </c>
      <c r="B15" s="127" t="s">
        <v>121</v>
      </c>
      <c r="C15" s="126">
        <v>2.5</v>
      </c>
      <c r="D15" s="126">
        <v>4.4</v>
      </c>
      <c r="E15" s="126">
        <v>3.9</v>
      </c>
      <c r="F15" s="126"/>
      <c r="G15" s="255">
        <v>10.8</v>
      </c>
    </row>
    <row r="16" spans="1:7" ht="20.25" thickBot="1">
      <c r="A16" s="254">
        <v>12</v>
      </c>
      <c r="B16" s="127" t="s">
        <v>122</v>
      </c>
      <c r="C16" s="126">
        <v>3.1</v>
      </c>
      <c r="D16" s="126">
        <v>2.6</v>
      </c>
      <c r="E16" s="126">
        <v>3</v>
      </c>
      <c r="F16" s="126"/>
      <c r="G16" s="255">
        <v>8.7</v>
      </c>
    </row>
    <row r="17" spans="1:7" ht="20.25" thickBot="1">
      <c r="A17" s="254">
        <v>13</v>
      </c>
      <c r="B17" s="127" t="s">
        <v>125</v>
      </c>
      <c r="C17" s="129">
        <v>0</v>
      </c>
      <c r="D17" s="129">
        <v>1.6</v>
      </c>
      <c r="E17" s="126">
        <v>4.8</v>
      </c>
      <c r="F17" s="129"/>
      <c r="G17" s="255">
        <v>6.4</v>
      </c>
    </row>
    <row r="18" spans="1:7" ht="20.25" thickBot="1">
      <c r="A18" s="254">
        <v>14</v>
      </c>
      <c r="B18" s="127" t="s">
        <v>330</v>
      </c>
      <c r="C18" s="126">
        <v>0</v>
      </c>
      <c r="D18" s="126">
        <v>0.8</v>
      </c>
      <c r="E18" s="126">
        <v>1.2</v>
      </c>
      <c r="F18" s="126"/>
      <c r="G18" s="255">
        <v>2</v>
      </c>
    </row>
    <row r="19" spans="1:7" ht="20.25" thickBot="1">
      <c r="A19" s="254">
        <v>15</v>
      </c>
      <c r="B19" s="127" t="s">
        <v>124</v>
      </c>
      <c r="C19" s="129">
        <v>1.8</v>
      </c>
      <c r="D19" s="129">
        <v>0</v>
      </c>
      <c r="E19" s="126">
        <v>0</v>
      </c>
      <c r="F19" s="129"/>
      <c r="G19" s="255">
        <v>1.8</v>
      </c>
    </row>
    <row r="20" spans="1:7" ht="20.25" thickBot="1">
      <c r="A20" s="254">
        <v>16</v>
      </c>
      <c r="B20" s="127" t="s">
        <v>126</v>
      </c>
      <c r="C20" s="126">
        <v>0</v>
      </c>
      <c r="D20" s="126">
        <v>1.2</v>
      </c>
      <c r="E20" s="126">
        <v>0</v>
      </c>
      <c r="F20" s="126"/>
      <c r="G20" s="255">
        <v>1.2</v>
      </c>
    </row>
    <row r="21" spans="1:7" ht="20.25" thickBot="1">
      <c r="A21" s="41">
        <v>17</v>
      </c>
      <c r="B21" s="256" t="s">
        <v>127</v>
      </c>
      <c r="C21" s="257">
        <v>0.6</v>
      </c>
      <c r="D21" s="22">
        <v>0</v>
      </c>
      <c r="E21" s="257">
        <v>0</v>
      </c>
      <c r="F21" s="22"/>
      <c r="G21" s="258">
        <v>0.6</v>
      </c>
    </row>
    <row r="22" spans="1:7" ht="16.5">
      <c r="A22" s="251"/>
      <c r="B22" s="251" t="s">
        <v>327</v>
      </c>
      <c r="C22" s="251"/>
      <c r="D22" s="2"/>
      <c r="E22" s="2"/>
      <c r="F22" s="2"/>
      <c r="G22" s="2"/>
    </row>
    <row r="23" spans="1:7" ht="16.5">
      <c r="A23" s="70" t="s">
        <v>57</v>
      </c>
      <c r="B23" s="75"/>
      <c r="C23" s="75"/>
      <c r="D23" s="2"/>
      <c r="E23" s="2"/>
      <c r="F23" s="2"/>
      <c r="G23" s="2"/>
    </row>
  </sheetData>
  <mergeCells count="3">
    <mergeCell ref="B1:G1"/>
    <mergeCell ref="B2:G2"/>
    <mergeCell ref="B3:G3"/>
  </mergeCells>
  <printOptions verticalCentered="1"/>
  <pageMargins left="0" right="0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FQ24"/>
  <sheetViews>
    <sheetView showGridLines="0" workbookViewId="0" topLeftCell="A1">
      <selection activeCell="E7" sqref="E7"/>
    </sheetView>
  </sheetViews>
  <sheetFormatPr defaultColWidth="9.00390625" defaultRowHeight="21" customHeight="1"/>
  <cols>
    <col min="1" max="1" width="6.375" style="2" customWidth="1"/>
    <col min="2" max="2" width="19.375" style="2" customWidth="1"/>
    <col min="3" max="5" width="7.625" style="2" customWidth="1"/>
    <col min="6" max="6" width="6.875" style="2" hidden="1" customWidth="1"/>
    <col min="7" max="7" width="8.625" style="2" customWidth="1"/>
    <col min="8" max="8" width="19.875" style="2" customWidth="1"/>
    <col min="9" max="16384" width="9.00390625" style="2" customWidth="1"/>
  </cols>
  <sheetData>
    <row r="1" ht="3" customHeight="1" thickBot="1"/>
    <row r="2" spans="1:7" ht="21" customHeight="1" thickBot="1">
      <c r="A2" s="124"/>
      <c r="B2" s="303" t="s">
        <v>308</v>
      </c>
      <c r="C2" s="304"/>
      <c r="D2" s="304"/>
      <c r="E2" s="304"/>
      <c r="F2" s="304"/>
      <c r="G2" s="305"/>
    </row>
    <row r="3" spans="1:7" ht="21" customHeight="1" thickBot="1">
      <c r="A3" s="252"/>
      <c r="B3" s="306" t="s">
        <v>309</v>
      </c>
      <c r="C3" s="307"/>
      <c r="D3" s="307"/>
      <c r="E3" s="307"/>
      <c r="F3" s="307"/>
      <c r="G3" s="308"/>
    </row>
    <row r="4" spans="1:7" ht="37.5" customHeight="1">
      <c r="A4" s="252"/>
      <c r="B4" s="303" t="s">
        <v>104</v>
      </c>
      <c r="C4" s="304"/>
      <c r="D4" s="304"/>
      <c r="E4" s="304"/>
      <c r="F4" s="304"/>
      <c r="G4" s="305"/>
    </row>
    <row r="5" spans="1:7" ht="40.5" customHeight="1" thickBot="1">
      <c r="A5" s="21" t="s">
        <v>103</v>
      </c>
      <c r="B5" s="143" t="s">
        <v>128</v>
      </c>
      <c r="C5" s="125" t="s">
        <v>105</v>
      </c>
      <c r="D5" s="125" t="s">
        <v>106</v>
      </c>
      <c r="E5" s="125" t="s">
        <v>107</v>
      </c>
      <c r="F5" s="125" t="s">
        <v>108</v>
      </c>
      <c r="G5" s="253" t="s">
        <v>50</v>
      </c>
    </row>
    <row r="6" spans="1:7" s="128" customFormat="1" ht="24.75" customHeight="1" thickBot="1">
      <c r="A6" s="254">
        <f aca="true" t="shared" si="0" ref="A6:A22">RANK(G6,$G$6:$G$22)</f>
        <v>1</v>
      </c>
      <c r="B6" s="127" t="s">
        <v>112</v>
      </c>
      <c r="C6" s="126">
        <v>10</v>
      </c>
      <c r="D6" s="126">
        <v>20</v>
      </c>
      <c r="E6" s="126">
        <f>IF('對抗賽女'!BR7="","",'對抗賽女'!BR7)</f>
        <v>29.099999999999998</v>
      </c>
      <c r="F6" s="126"/>
      <c r="G6" s="255">
        <f aca="true" t="shared" si="1" ref="G6:G22">C6+D6+E6+F6</f>
        <v>59.099999999999994</v>
      </c>
    </row>
    <row r="7" spans="1:7" s="128" customFormat="1" ht="24.75" customHeight="1" thickBot="1">
      <c r="A7" s="254">
        <f t="shared" si="0"/>
        <v>2</v>
      </c>
      <c r="B7" s="127" t="s">
        <v>113</v>
      </c>
      <c r="C7" s="126">
        <v>6.8</v>
      </c>
      <c r="D7" s="126">
        <v>17.4</v>
      </c>
      <c r="E7" s="126">
        <f>IF('對抗賽女'!BR6="","",'對抗賽女'!BR6)</f>
        <v>27.9</v>
      </c>
      <c r="F7" s="126"/>
      <c r="G7" s="255">
        <f t="shared" si="1"/>
        <v>52.099999999999994</v>
      </c>
    </row>
    <row r="8" spans="1:7" s="128" customFormat="1" ht="24.75" customHeight="1" thickBot="1">
      <c r="A8" s="254">
        <f t="shared" si="0"/>
        <v>3</v>
      </c>
      <c r="B8" s="127" t="s">
        <v>119</v>
      </c>
      <c r="C8" s="126">
        <v>3.1</v>
      </c>
      <c r="D8" s="126">
        <v>9.2</v>
      </c>
      <c r="E8" s="126">
        <f>IF('對抗賽女'!BR8="","",'對抗賽女'!BR8)</f>
        <v>24</v>
      </c>
      <c r="F8" s="126"/>
      <c r="G8" s="255">
        <f t="shared" si="1"/>
        <v>36.3</v>
      </c>
    </row>
    <row r="9" spans="1:7" s="128" customFormat="1" ht="24.75" customHeight="1" thickBot="1">
      <c r="A9" s="254">
        <f t="shared" si="0"/>
        <v>4</v>
      </c>
      <c r="B9" s="127" t="s">
        <v>115</v>
      </c>
      <c r="C9" s="126">
        <v>4.5</v>
      </c>
      <c r="D9" s="126">
        <v>14</v>
      </c>
      <c r="E9" s="126">
        <f>IF('對抗賽女'!BR17="","",'對抗賽女'!BR17)</f>
        <v>14.1</v>
      </c>
      <c r="F9" s="126"/>
      <c r="G9" s="255">
        <f t="shared" si="1"/>
        <v>32.6</v>
      </c>
    </row>
    <row r="10" spans="1:7" s="128" customFormat="1" ht="24.75" customHeight="1" thickBot="1">
      <c r="A10" s="254">
        <f t="shared" si="0"/>
        <v>5</v>
      </c>
      <c r="B10" s="127" t="s">
        <v>116</v>
      </c>
      <c r="C10" s="126">
        <v>0.4</v>
      </c>
      <c r="D10" s="126">
        <v>14.2</v>
      </c>
      <c r="E10" s="126">
        <f>IF('對抗賽女'!BR13="","",'對抗賽女'!BR13)</f>
        <v>12.299999999999999</v>
      </c>
      <c r="F10" s="126"/>
      <c r="G10" s="255">
        <f t="shared" si="1"/>
        <v>26.9</v>
      </c>
    </row>
    <row r="11" spans="1:7" s="128" customFormat="1" ht="24.75" customHeight="1" thickBot="1">
      <c r="A11" s="254">
        <f t="shared" si="0"/>
        <v>6</v>
      </c>
      <c r="B11" s="127" t="s">
        <v>114</v>
      </c>
      <c r="C11" s="126">
        <v>7.5</v>
      </c>
      <c r="D11" s="126">
        <v>11.4</v>
      </c>
      <c r="E11" s="126">
        <f>IF('對抗賽女'!BR12="","",'對抗賽女'!BR12)</f>
        <v>7.8</v>
      </c>
      <c r="F11" s="126"/>
      <c r="G11" s="255">
        <f t="shared" si="1"/>
        <v>26.7</v>
      </c>
    </row>
    <row r="12" spans="1:7" s="128" customFormat="1" ht="24.75" customHeight="1" thickBot="1">
      <c r="A12" s="254">
        <f t="shared" si="0"/>
        <v>7</v>
      </c>
      <c r="B12" s="127" t="s">
        <v>117</v>
      </c>
      <c r="C12" s="126">
        <v>6.8</v>
      </c>
      <c r="D12" s="126">
        <v>6.2</v>
      </c>
      <c r="E12" s="126">
        <f>IF('對抗賽女'!BR11="","",'對抗賽女'!BR11)</f>
        <v>12.6</v>
      </c>
      <c r="F12" s="126"/>
      <c r="G12" s="255">
        <f t="shared" si="1"/>
        <v>25.6</v>
      </c>
    </row>
    <row r="13" spans="1:7" s="128" customFormat="1" ht="24.75" customHeight="1" thickBot="1">
      <c r="A13" s="254">
        <f t="shared" si="0"/>
        <v>8</v>
      </c>
      <c r="B13" s="127" t="s">
        <v>120</v>
      </c>
      <c r="C13" s="126">
        <v>5</v>
      </c>
      <c r="D13" s="126">
        <v>2</v>
      </c>
      <c r="E13" s="126">
        <f>IF('對抗賽女'!BR10="","",'對抗賽女'!BR10)</f>
        <v>18</v>
      </c>
      <c r="F13" s="126"/>
      <c r="G13" s="255">
        <f t="shared" si="1"/>
        <v>25</v>
      </c>
    </row>
    <row r="14" spans="1:7" s="128" customFormat="1" ht="24.75" customHeight="1" thickBot="1">
      <c r="A14" s="299">
        <f t="shared" si="0"/>
        <v>9</v>
      </c>
      <c r="B14" s="300" t="s">
        <v>118</v>
      </c>
      <c r="C14" s="301">
        <v>1</v>
      </c>
      <c r="D14" s="301">
        <v>11.8</v>
      </c>
      <c r="E14" s="301">
        <f>IF('對抗賽女'!BR9="","",'對抗賽女'!BR9)</f>
        <v>10.5</v>
      </c>
      <c r="F14" s="301"/>
      <c r="G14" s="302">
        <f t="shared" si="1"/>
        <v>23.3</v>
      </c>
    </row>
    <row r="15" spans="1:7" s="128" customFormat="1" ht="24.75" customHeight="1" thickBot="1" thickTop="1">
      <c r="A15" s="295">
        <f t="shared" si="0"/>
        <v>10</v>
      </c>
      <c r="B15" s="296" t="s">
        <v>123</v>
      </c>
      <c r="C15" s="297">
        <v>5.5</v>
      </c>
      <c r="D15" s="297">
        <v>0</v>
      </c>
      <c r="E15" s="297">
        <f>IF('對抗賽女'!BR18="","",'對抗賽女'!BR18)</f>
        <v>6</v>
      </c>
      <c r="F15" s="297"/>
      <c r="G15" s="298">
        <f t="shared" si="1"/>
        <v>11.5</v>
      </c>
    </row>
    <row r="16" spans="1:7" s="128" customFormat="1" ht="24.75" customHeight="1" thickBot="1">
      <c r="A16" s="254">
        <f t="shared" si="0"/>
        <v>11</v>
      </c>
      <c r="B16" s="127" t="s">
        <v>121</v>
      </c>
      <c r="C16" s="126">
        <v>2.5</v>
      </c>
      <c r="D16" s="126">
        <v>4.4</v>
      </c>
      <c r="E16" s="126">
        <f>IF('對抗賽女'!BR15="","",'對抗賽女'!BR15)</f>
        <v>3.9</v>
      </c>
      <c r="F16" s="126"/>
      <c r="G16" s="255">
        <f t="shared" si="1"/>
        <v>10.8</v>
      </c>
    </row>
    <row r="17" spans="1:7" ht="24.75" customHeight="1" thickBot="1">
      <c r="A17" s="254">
        <f t="shared" si="0"/>
        <v>12</v>
      </c>
      <c r="B17" s="127" t="s">
        <v>122</v>
      </c>
      <c r="C17" s="126">
        <v>3.1</v>
      </c>
      <c r="D17" s="126">
        <v>2.6</v>
      </c>
      <c r="E17" s="126">
        <f>IF('對抗賽女'!BR16="","",'對抗賽女'!BR16)</f>
        <v>3</v>
      </c>
      <c r="F17" s="126"/>
      <c r="G17" s="255">
        <f t="shared" si="1"/>
        <v>8.7</v>
      </c>
    </row>
    <row r="18" spans="1:7" s="128" customFormat="1" ht="24.75" customHeight="1" thickBot="1">
      <c r="A18" s="254">
        <f t="shared" si="0"/>
        <v>13</v>
      </c>
      <c r="B18" s="127" t="s">
        <v>125</v>
      </c>
      <c r="C18" s="129">
        <v>0</v>
      </c>
      <c r="D18" s="129">
        <v>1.6</v>
      </c>
      <c r="E18" s="126">
        <f>IF('對抗賽女'!BR14="","",'對抗賽女'!BR14)</f>
        <v>4.8</v>
      </c>
      <c r="F18" s="129"/>
      <c r="G18" s="255">
        <f t="shared" si="1"/>
        <v>6.4</v>
      </c>
    </row>
    <row r="19" spans="1:7" s="128" customFormat="1" ht="24.75" customHeight="1" thickBot="1">
      <c r="A19" s="254">
        <f t="shared" si="0"/>
        <v>14</v>
      </c>
      <c r="B19" s="127" t="s">
        <v>331</v>
      </c>
      <c r="C19" s="126">
        <v>0</v>
      </c>
      <c r="D19" s="126">
        <v>0.8</v>
      </c>
      <c r="E19" s="126">
        <f>IF('對抗賽女'!BR19="","",'對抗賽女'!BR19)</f>
        <v>1.2</v>
      </c>
      <c r="F19" s="126"/>
      <c r="G19" s="255">
        <f t="shared" si="1"/>
        <v>2</v>
      </c>
    </row>
    <row r="20" spans="1:7" s="128" customFormat="1" ht="24.75" customHeight="1" thickBot="1">
      <c r="A20" s="254">
        <f t="shared" si="0"/>
        <v>15</v>
      </c>
      <c r="B20" s="127" t="s">
        <v>124</v>
      </c>
      <c r="C20" s="129">
        <v>1.8</v>
      </c>
      <c r="D20" s="129">
        <v>0</v>
      </c>
      <c r="E20" s="126">
        <v>0</v>
      </c>
      <c r="F20" s="129"/>
      <c r="G20" s="255">
        <f t="shared" si="1"/>
        <v>1.8</v>
      </c>
    </row>
    <row r="21" spans="1:7" ht="24.75" customHeight="1" thickBot="1">
      <c r="A21" s="254">
        <f t="shared" si="0"/>
        <v>16</v>
      </c>
      <c r="B21" s="127" t="s">
        <v>126</v>
      </c>
      <c r="C21" s="126">
        <v>0</v>
      </c>
      <c r="D21" s="126">
        <v>1.2</v>
      </c>
      <c r="E21" s="126">
        <v>0</v>
      </c>
      <c r="F21" s="126"/>
      <c r="G21" s="255">
        <f t="shared" si="1"/>
        <v>1.2</v>
      </c>
    </row>
    <row r="22" spans="1:7" ht="24.75" customHeight="1" thickBot="1">
      <c r="A22" s="41">
        <f t="shared" si="0"/>
        <v>17</v>
      </c>
      <c r="B22" s="256" t="s">
        <v>127</v>
      </c>
      <c r="C22" s="257">
        <v>0.6</v>
      </c>
      <c r="D22" s="22">
        <v>0</v>
      </c>
      <c r="E22" s="257">
        <v>0</v>
      </c>
      <c r="F22" s="22"/>
      <c r="G22" s="258">
        <f t="shared" si="1"/>
        <v>0.6</v>
      </c>
    </row>
    <row r="23" spans="1:3" ht="18.75" customHeight="1">
      <c r="A23" s="251"/>
      <c r="B23" s="251" t="s">
        <v>327</v>
      </c>
      <c r="C23" s="251"/>
    </row>
    <row r="24" spans="1:173" ht="29.25" customHeight="1">
      <c r="A24" s="70" t="s">
        <v>57</v>
      </c>
      <c r="B24" s="75"/>
      <c r="C24" s="75"/>
      <c r="FE24" s="65"/>
      <c r="FF24" s="65"/>
      <c r="FJ24" s="65"/>
      <c r="FK24" s="65"/>
      <c r="FL24" s="65"/>
      <c r="FQ24" s="82"/>
    </row>
  </sheetData>
  <sheetProtection password="C613" sheet="1" objects="1" scenarios="1"/>
  <mergeCells count="3">
    <mergeCell ref="B2:G2"/>
    <mergeCell ref="B3:G3"/>
    <mergeCell ref="B4:G4"/>
  </mergeCells>
  <printOptions horizontalCentered="1" verticalCentered="1"/>
  <pageMargins left="0" right="0" top="0" bottom="0" header="0.5118110236220472" footer="0.5118110236220472"/>
  <pageSetup blackAndWhite="1"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90"/>
  <sheetViews>
    <sheetView workbookViewId="0" topLeftCell="G1">
      <selection activeCell="L6" sqref="L6"/>
    </sheetView>
  </sheetViews>
  <sheetFormatPr defaultColWidth="9.00390625" defaultRowHeight="16.5"/>
  <cols>
    <col min="1" max="1" width="33.875" style="152" bestFit="1" customWidth="1"/>
    <col min="2" max="2" width="6.00390625" style="152" bestFit="1" customWidth="1"/>
    <col min="3" max="3" width="8.125" style="152" bestFit="1" customWidth="1"/>
    <col min="4" max="4" width="17.50390625" style="152" bestFit="1" customWidth="1"/>
    <col min="5" max="5" width="6.875" style="152" customWidth="1"/>
    <col min="6" max="6" width="40.50390625" style="152" bestFit="1" customWidth="1"/>
    <col min="7" max="7" width="6.375" style="152" bestFit="1" customWidth="1"/>
    <col min="8" max="8" width="8.125" style="152" bestFit="1" customWidth="1"/>
    <col min="9" max="9" width="8.25390625" style="152" bestFit="1" customWidth="1"/>
    <col min="10" max="10" width="27.25390625" style="152" bestFit="1" customWidth="1"/>
    <col min="11" max="11" width="12.75390625" style="152" bestFit="1" customWidth="1"/>
    <col min="12" max="12" width="27.25390625" style="152" bestFit="1" customWidth="1"/>
    <col min="13" max="13" width="6.875" style="152" customWidth="1"/>
    <col min="14" max="14" width="32.75390625" style="152" bestFit="1" customWidth="1"/>
    <col min="15" max="15" width="6.875" style="152" customWidth="1"/>
    <col min="16" max="16" width="7.50390625" style="152" bestFit="1" customWidth="1"/>
    <col min="17" max="17" width="11.625" style="152" bestFit="1" customWidth="1"/>
    <col min="18" max="16384" width="6.875" style="152" customWidth="1"/>
  </cols>
  <sheetData>
    <row r="1" spans="1:17" s="147" customFormat="1" ht="21">
      <c r="A1" s="145" t="str">
        <f>F1</f>
        <v>射箭全國紀錄 </v>
      </c>
      <c r="B1" s="146"/>
      <c r="C1" s="146"/>
      <c r="D1" s="146"/>
      <c r="F1" s="145" t="s">
        <v>148</v>
      </c>
      <c r="G1" s="146"/>
      <c r="H1" s="146"/>
      <c r="I1" s="146"/>
      <c r="J1" s="146"/>
      <c r="K1" s="146"/>
      <c r="L1" s="146"/>
      <c r="N1" s="148" t="s">
        <v>149</v>
      </c>
      <c r="O1" s="149"/>
      <c r="P1" s="149"/>
      <c r="Q1" s="149"/>
    </row>
    <row r="2" spans="1:17" ht="21">
      <c r="A2" s="150" t="str">
        <f>F2</f>
        <v>反曲弓女子組 </v>
      </c>
      <c r="B2" s="151"/>
      <c r="C2" s="151"/>
      <c r="D2" s="151"/>
      <c r="F2" s="150" t="s">
        <v>150</v>
      </c>
      <c r="G2" s="151"/>
      <c r="H2" s="151"/>
      <c r="I2" s="151"/>
      <c r="J2" s="151"/>
      <c r="K2" s="151"/>
      <c r="L2" s="151"/>
      <c r="N2" s="148" t="s">
        <v>151</v>
      </c>
      <c r="O2" s="149"/>
      <c r="P2" s="149"/>
      <c r="Q2" s="149"/>
    </row>
    <row r="3" spans="1:17" ht="21.75" thickBot="1">
      <c r="A3" s="153" t="str">
        <f>F25</f>
        <v>奧運局（OLYMPIC ROUND）</v>
      </c>
      <c r="B3" s="154"/>
      <c r="C3" s="154"/>
      <c r="D3" s="154"/>
      <c r="F3" s="153" t="s">
        <v>152</v>
      </c>
      <c r="G3" s="154"/>
      <c r="H3" s="154"/>
      <c r="I3" s="154"/>
      <c r="J3" s="153"/>
      <c r="K3" s="151"/>
      <c r="L3" s="151"/>
      <c r="N3" s="148"/>
      <c r="O3" s="149"/>
      <c r="P3" s="149"/>
      <c r="Q3" s="149"/>
    </row>
    <row r="4" spans="1:17" ht="17.25" thickBot="1">
      <c r="A4" s="155" t="str">
        <f>F4</f>
        <v>項　目</v>
      </c>
      <c r="B4" s="156" t="str">
        <f>G4</f>
        <v>成績</v>
      </c>
      <c r="C4" s="157" t="str">
        <f>H4</f>
        <v>保持者</v>
      </c>
      <c r="D4" s="158" t="s">
        <v>153</v>
      </c>
      <c r="F4" s="155" t="s">
        <v>154</v>
      </c>
      <c r="G4" s="156" t="s">
        <v>155</v>
      </c>
      <c r="H4" s="156" t="s">
        <v>156</v>
      </c>
      <c r="I4" s="156" t="s">
        <v>157</v>
      </c>
      <c r="J4" s="159" t="s">
        <v>158</v>
      </c>
      <c r="K4" s="156" t="s">
        <v>159</v>
      </c>
      <c r="L4" s="157" t="s">
        <v>160</v>
      </c>
      <c r="N4" s="160" t="s">
        <v>161</v>
      </c>
      <c r="O4" s="161" t="s">
        <v>155</v>
      </c>
      <c r="P4" s="161" t="s">
        <v>162</v>
      </c>
      <c r="Q4" s="162" t="s">
        <v>163</v>
      </c>
    </row>
    <row r="5" spans="1:17" ht="16.5">
      <c r="A5" s="163" t="str">
        <f>F27</f>
        <v>個 人排名賽（70M-72箭）</v>
      </c>
      <c r="B5" s="164">
        <f>G27</f>
        <v>647</v>
      </c>
      <c r="C5" s="165" t="str">
        <f>H27</f>
        <v>劉碧瑜</v>
      </c>
      <c r="D5" s="158" t="s">
        <v>129</v>
      </c>
      <c r="F5" s="163" t="s">
        <v>164</v>
      </c>
      <c r="G5" s="164">
        <v>1336</v>
      </c>
      <c r="H5" s="164" t="s">
        <v>165</v>
      </c>
      <c r="I5" s="164">
        <v>1440</v>
      </c>
      <c r="J5" s="164" t="s">
        <v>166</v>
      </c>
      <c r="K5" s="164" t="s">
        <v>167</v>
      </c>
      <c r="L5" s="165" t="s">
        <v>168</v>
      </c>
      <c r="N5" s="166" t="s">
        <v>169</v>
      </c>
      <c r="O5" s="167">
        <v>1291</v>
      </c>
      <c r="P5" s="168" t="s">
        <v>170</v>
      </c>
      <c r="Q5" s="169" t="s">
        <v>171</v>
      </c>
    </row>
    <row r="6" spans="1:17" ht="16.5">
      <c r="A6" s="170" t="str">
        <f>F6</f>
        <v>70M</v>
      </c>
      <c r="B6" s="171">
        <f>G6</f>
        <v>331</v>
      </c>
      <c r="C6" s="172" t="str">
        <f>H6</f>
        <v>劉碧瑜</v>
      </c>
      <c r="D6" s="158" t="s">
        <v>172</v>
      </c>
      <c r="F6" s="170" t="s">
        <v>173</v>
      </c>
      <c r="G6" s="171">
        <v>331</v>
      </c>
      <c r="H6" s="171" t="s">
        <v>174</v>
      </c>
      <c r="I6" s="171">
        <v>360</v>
      </c>
      <c r="J6" s="171" t="s">
        <v>175</v>
      </c>
      <c r="K6" s="171" t="s">
        <v>301</v>
      </c>
      <c r="L6" s="172" t="s">
        <v>302</v>
      </c>
      <c r="N6" s="173" t="s">
        <v>178</v>
      </c>
      <c r="O6" s="174">
        <v>317</v>
      </c>
      <c r="P6" s="174" t="s">
        <v>170</v>
      </c>
      <c r="Q6" s="175" t="s">
        <v>130</v>
      </c>
    </row>
    <row r="7" spans="1:17" ht="16.5">
      <c r="A7" s="170" t="str">
        <f>F6</f>
        <v>70M</v>
      </c>
      <c r="B7" s="171">
        <f>G6</f>
        <v>331</v>
      </c>
      <c r="C7" s="172" t="str">
        <f>H6</f>
        <v>劉碧瑜</v>
      </c>
      <c r="D7" s="176"/>
      <c r="F7" s="170" t="s">
        <v>179</v>
      </c>
      <c r="G7" s="171">
        <v>340</v>
      </c>
      <c r="H7" s="171" t="s">
        <v>180</v>
      </c>
      <c r="I7" s="171">
        <v>360</v>
      </c>
      <c r="J7" s="171" t="s">
        <v>181</v>
      </c>
      <c r="K7" s="171" t="s">
        <v>182</v>
      </c>
      <c r="L7" s="172" t="s">
        <v>183</v>
      </c>
      <c r="N7" s="173" t="s">
        <v>184</v>
      </c>
      <c r="O7" s="174">
        <v>320</v>
      </c>
      <c r="P7" s="174" t="s">
        <v>170</v>
      </c>
      <c r="Q7" s="175" t="s">
        <v>130</v>
      </c>
    </row>
    <row r="8" spans="1:17" ht="16.5">
      <c r="A8" s="170" t="str">
        <f>F6</f>
        <v>70M</v>
      </c>
      <c r="B8" s="171">
        <f>G6</f>
        <v>331</v>
      </c>
      <c r="C8" s="172" t="str">
        <f>H6</f>
        <v>劉碧瑜</v>
      </c>
      <c r="D8" s="176"/>
      <c r="F8" s="170" t="s">
        <v>185</v>
      </c>
      <c r="G8" s="171">
        <v>335</v>
      </c>
      <c r="H8" s="171" t="s">
        <v>186</v>
      </c>
      <c r="I8" s="171">
        <v>360</v>
      </c>
      <c r="J8" s="171" t="s">
        <v>187</v>
      </c>
      <c r="K8" s="171" t="s">
        <v>188</v>
      </c>
      <c r="L8" s="172" t="s">
        <v>189</v>
      </c>
      <c r="N8" s="173" t="s">
        <v>190</v>
      </c>
      <c r="O8" s="174">
        <v>317</v>
      </c>
      <c r="P8" s="174" t="s">
        <v>191</v>
      </c>
      <c r="Q8" s="175" t="s">
        <v>130</v>
      </c>
    </row>
    <row r="9" spans="1:17" ht="16.5">
      <c r="A9" s="170" t="str">
        <f>F6</f>
        <v>70M</v>
      </c>
      <c r="B9" s="171">
        <f>G6</f>
        <v>331</v>
      </c>
      <c r="C9" s="172" t="str">
        <f>H6</f>
        <v>劉碧瑜</v>
      </c>
      <c r="D9" s="176"/>
      <c r="F9" s="170" t="s">
        <v>192</v>
      </c>
      <c r="G9" s="171">
        <v>351</v>
      </c>
      <c r="H9" s="171" t="s">
        <v>165</v>
      </c>
      <c r="I9" s="171">
        <v>360</v>
      </c>
      <c r="J9" s="171" t="s">
        <v>166</v>
      </c>
      <c r="K9" s="171" t="s">
        <v>167</v>
      </c>
      <c r="L9" s="172" t="s">
        <v>193</v>
      </c>
      <c r="N9" s="173" t="s">
        <v>194</v>
      </c>
      <c r="O9" s="174">
        <v>347</v>
      </c>
      <c r="P9" s="174" t="s">
        <v>195</v>
      </c>
      <c r="Q9" s="175" t="s">
        <v>130</v>
      </c>
    </row>
    <row r="10" spans="1:17" ht="16.5">
      <c r="A10" s="170" t="str">
        <f>F31</f>
        <v>團體排名賽（70M-72箭×3人）</v>
      </c>
      <c r="B10" s="171">
        <f>G31</f>
        <v>1906</v>
      </c>
      <c r="C10" s="172" t="str">
        <f>H31</f>
        <v>林宜螢</v>
      </c>
      <c r="D10" s="176"/>
      <c r="F10" s="170" t="s">
        <v>196</v>
      </c>
      <c r="G10" s="171">
        <v>3951</v>
      </c>
      <c r="H10" s="171" t="s">
        <v>186</v>
      </c>
      <c r="I10" s="171">
        <v>4320</v>
      </c>
      <c r="J10" s="171" t="s">
        <v>187</v>
      </c>
      <c r="K10" s="171" t="s">
        <v>188</v>
      </c>
      <c r="L10" s="172" t="s">
        <v>189</v>
      </c>
      <c r="N10" s="177" t="s">
        <v>197</v>
      </c>
      <c r="O10" s="178">
        <v>3680</v>
      </c>
      <c r="P10" s="174" t="s">
        <v>198</v>
      </c>
      <c r="Q10" s="175" t="s">
        <v>130</v>
      </c>
    </row>
    <row r="11" spans="1:17" ht="16.5">
      <c r="A11" s="170"/>
      <c r="B11" s="171"/>
      <c r="C11" s="172" t="str">
        <f>H32</f>
        <v>楊鈞芪</v>
      </c>
      <c r="D11" s="176"/>
      <c r="F11" s="170"/>
      <c r="G11" s="171"/>
      <c r="H11" s="171" t="s">
        <v>170</v>
      </c>
      <c r="I11" s="171"/>
      <c r="J11" s="171"/>
      <c r="K11" s="171"/>
      <c r="L11" s="172"/>
      <c r="N11" s="179"/>
      <c r="O11" s="180"/>
      <c r="P11" s="174" t="s">
        <v>170</v>
      </c>
      <c r="Q11" s="175" t="s">
        <v>130</v>
      </c>
    </row>
    <row r="12" spans="1:17" ht="17.25" thickBot="1">
      <c r="A12" s="181"/>
      <c r="B12" s="182"/>
      <c r="C12" s="183" t="str">
        <f>H33</f>
        <v>林雅華</v>
      </c>
      <c r="D12" s="176"/>
      <c r="F12" s="181"/>
      <c r="G12" s="182"/>
      <c r="H12" s="182" t="s">
        <v>199</v>
      </c>
      <c r="I12" s="182"/>
      <c r="J12" s="182"/>
      <c r="K12" s="182"/>
      <c r="L12" s="183"/>
      <c r="N12" s="184"/>
      <c r="O12" s="185"/>
      <c r="P12" s="186" t="s">
        <v>200</v>
      </c>
      <c r="Q12" s="187" t="s">
        <v>130</v>
      </c>
    </row>
    <row r="13" spans="4:17" ht="17.25" thickBot="1">
      <c r="D13" s="154"/>
      <c r="F13" s="153" t="s">
        <v>201</v>
      </c>
      <c r="G13" s="154"/>
      <c r="H13" s="154"/>
      <c r="I13" s="154"/>
      <c r="J13" s="151"/>
      <c r="K13" s="151"/>
      <c r="L13" s="151"/>
      <c r="N13" s="188" t="s">
        <v>202</v>
      </c>
      <c r="O13" s="168">
        <v>164</v>
      </c>
      <c r="P13" s="168" t="s">
        <v>203</v>
      </c>
      <c r="Q13" s="169" t="s">
        <v>204</v>
      </c>
    </row>
    <row r="14" spans="1:17" ht="19.5">
      <c r="A14" s="150" t="str">
        <f aca="true" t="shared" si="0" ref="A14:A21">F24</f>
        <v>反曲弓女子組 </v>
      </c>
      <c r="B14" s="153"/>
      <c r="C14" s="153"/>
      <c r="D14" s="176"/>
      <c r="F14" s="155" t="s">
        <v>154</v>
      </c>
      <c r="G14" s="156" t="s">
        <v>155</v>
      </c>
      <c r="H14" s="156" t="s">
        <v>156</v>
      </c>
      <c r="I14" s="156" t="s">
        <v>157</v>
      </c>
      <c r="J14" s="159" t="s">
        <v>158</v>
      </c>
      <c r="K14" s="156" t="s">
        <v>159</v>
      </c>
      <c r="L14" s="157" t="s">
        <v>160</v>
      </c>
      <c r="N14" s="173" t="s">
        <v>205</v>
      </c>
      <c r="O14" s="174">
        <v>109</v>
      </c>
      <c r="P14" s="174" t="s">
        <v>203</v>
      </c>
      <c r="Q14" s="175" t="s">
        <v>204</v>
      </c>
    </row>
    <row r="15" spans="1:17" ht="17.25" thickBot="1">
      <c r="A15" s="189" t="str">
        <f t="shared" si="0"/>
        <v>奧運局（OLYMPIC ROUND）</v>
      </c>
      <c r="B15" s="151"/>
      <c r="C15" s="151"/>
      <c r="D15" s="176"/>
      <c r="F15" s="163" t="s">
        <v>164</v>
      </c>
      <c r="G15" s="164">
        <v>2641</v>
      </c>
      <c r="H15" s="164" t="s">
        <v>165</v>
      </c>
      <c r="I15" s="164">
        <v>2880</v>
      </c>
      <c r="J15" s="164" t="s">
        <v>166</v>
      </c>
      <c r="K15" s="164" t="s">
        <v>167</v>
      </c>
      <c r="L15" s="165" t="s">
        <v>193</v>
      </c>
      <c r="N15" s="190" t="s">
        <v>206</v>
      </c>
      <c r="O15" s="186">
        <v>315</v>
      </c>
      <c r="P15" s="186" t="s">
        <v>207</v>
      </c>
      <c r="Q15" s="187" t="s">
        <v>204</v>
      </c>
    </row>
    <row r="16" spans="1:17" ht="16.5">
      <c r="A16" s="155" t="str">
        <f t="shared" si="0"/>
        <v>項　目</v>
      </c>
      <c r="B16" s="156" t="str">
        <f aca="true" t="shared" si="1" ref="B16:C21">G26</f>
        <v>成績</v>
      </c>
      <c r="C16" s="157" t="str">
        <f t="shared" si="1"/>
        <v>保持者</v>
      </c>
      <c r="D16" s="158" t="s">
        <v>131</v>
      </c>
      <c r="F16" s="170" t="s">
        <v>173</v>
      </c>
      <c r="G16" s="171">
        <v>654</v>
      </c>
      <c r="H16" s="171" t="s">
        <v>174</v>
      </c>
      <c r="I16" s="171">
        <v>720</v>
      </c>
      <c r="J16" s="171" t="s">
        <v>175</v>
      </c>
      <c r="K16" s="171" t="s">
        <v>176</v>
      </c>
      <c r="L16" s="172" t="s">
        <v>177</v>
      </c>
      <c r="N16" s="191" t="s">
        <v>208</v>
      </c>
      <c r="O16" s="192">
        <v>232</v>
      </c>
      <c r="P16" s="168" t="s">
        <v>203</v>
      </c>
      <c r="Q16" s="169" t="s">
        <v>209</v>
      </c>
    </row>
    <row r="17" spans="1:17" ht="16.5">
      <c r="A17" s="163" t="str">
        <f t="shared" si="0"/>
        <v>個 人排名賽（70M-72箭）</v>
      </c>
      <c r="B17" s="164">
        <f t="shared" si="1"/>
        <v>647</v>
      </c>
      <c r="C17" s="165" t="str">
        <f t="shared" si="1"/>
        <v>劉碧瑜</v>
      </c>
      <c r="D17" s="158" t="s">
        <v>210</v>
      </c>
      <c r="F17" s="170" t="s">
        <v>179</v>
      </c>
      <c r="G17" s="171">
        <v>671</v>
      </c>
      <c r="H17" s="171" t="s">
        <v>165</v>
      </c>
      <c r="I17" s="171">
        <v>720</v>
      </c>
      <c r="J17" s="171" t="s">
        <v>211</v>
      </c>
      <c r="K17" s="171" t="s">
        <v>212</v>
      </c>
      <c r="L17" s="172" t="s">
        <v>193</v>
      </c>
      <c r="N17" s="179"/>
      <c r="O17" s="180"/>
      <c r="P17" s="174" t="s">
        <v>213</v>
      </c>
      <c r="Q17" s="175" t="s">
        <v>209</v>
      </c>
    </row>
    <row r="18" spans="1:17" ht="16.5">
      <c r="A18" s="170" t="str">
        <f t="shared" si="0"/>
        <v>個人淘汰局對抗（70M-18箭）</v>
      </c>
      <c r="B18" s="171">
        <f t="shared" si="1"/>
        <v>168</v>
      </c>
      <c r="C18" s="172" t="str">
        <f t="shared" si="1"/>
        <v>劉碧瑜</v>
      </c>
      <c r="D18" s="158" t="s">
        <v>132</v>
      </c>
      <c r="F18" s="170" t="s">
        <v>185</v>
      </c>
      <c r="G18" s="171">
        <v>659</v>
      </c>
      <c r="H18" s="171" t="s">
        <v>165</v>
      </c>
      <c r="I18" s="171">
        <v>720</v>
      </c>
      <c r="J18" s="171" t="s">
        <v>166</v>
      </c>
      <c r="K18" s="171" t="s">
        <v>167</v>
      </c>
      <c r="L18" s="172" t="s">
        <v>193</v>
      </c>
      <c r="N18" s="166"/>
      <c r="O18" s="167"/>
      <c r="P18" s="174" t="s">
        <v>214</v>
      </c>
      <c r="Q18" s="175" t="s">
        <v>209</v>
      </c>
    </row>
    <row r="19" spans="1:17" ht="16.5">
      <c r="A19" s="170" t="str">
        <f t="shared" si="0"/>
        <v>個人決賽局對抗（70M-12箭）</v>
      </c>
      <c r="B19" s="171">
        <f t="shared" si="1"/>
        <v>113</v>
      </c>
      <c r="C19" s="172" t="str">
        <f t="shared" si="1"/>
        <v>袁叔琪</v>
      </c>
      <c r="D19" s="158" t="s">
        <v>215</v>
      </c>
      <c r="F19" s="170" t="s">
        <v>192</v>
      </c>
      <c r="G19" s="171">
        <v>701</v>
      </c>
      <c r="H19" s="171" t="s">
        <v>165</v>
      </c>
      <c r="I19" s="171">
        <v>720</v>
      </c>
      <c r="J19" s="171" t="s">
        <v>216</v>
      </c>
      <c r="K19" s="171" t="s">
        <v>217</v>
      </c>
      <c r="L19" s="172" t="s">
        <v>218</v>
      </c>
      <c r="N19" s="177" t="s">
        <v>219</v>
      </c>
      <c r="O19" s="178">
        <v>446</v>
      </c>
      <c r="P19" s="178" t="s">
        <v>220</v>
      </c>
      <c r="Q19" s="175" t="s">
        <v>209</v>
      </c>
    </row>
    <row r="20" spans="1:17" ht="16.5">
      <c r="A20" s="170" t="str">
        <f t="shared" si="0"/>
        <v>個人決賽局對抗總分（12箭×3輪）</v>
      </c>
      <c r="B20" s="171">
        <f t="shared" si="1"/>
        <v>319</v>
      </c>
      <c r="C20" s="172" t="str">
        <f t="shared" si="1"/>
        <v>袁叔琪</v>
      </c>
      <c r="D20" s="158" t="s">
        <v>133</v>
      </c>
      <c r="F20" s="193" t="s">
        <v>196</v>
      </c>
      <c r="G20" s="194">
        <v>7762</v>
      </c>
      <c r="H20" s="171" t="s">
        <v>221</v>
      </c>
      <c r="I20" s="194">
        <v>8640</v>
      </c>
      <c r="J20" s="194" t="s">
        <v>222</v>
      </c>
      <c r="K20" s="194" t="s">
        <v>223</v>
      </c>
      <c r="L20" s="195" t="s">
        <v>218</v>
      </c>
      <c r="N20" s="179"/>
      <c r="O20" s="180"/>
      <c r="P20" s="180" t="s">
        <v>224</v>
      </c>
      <c r="Q20" s="175" t="s">
        <v>209</v>
      </c>
    </row>
    <row r="21" spans="1:17" ht="17.25" thickBot="1">
      <c r="A21" s="193" t="str">
        <f t="shared" si="0"/>
        <v>團體排名賽（70M-72箭×3人）</v>
      </c>
      <c r="B21" s="194">
        <f t="shared" si="1"/>
        <v>1906</v>
      </c>
      <c r="C21" s="172" t="str">
        <f t="shared" si="1"/>
        <v>林宜螢</v>
      </c>
      <c r="D21" s="158" t="s">
        <v>172</v>
      </c>
      <c r="F21" s="196"/>
      <c r="G21" s="197"/>
      <c r="H21" s="171" t="s">
        <v>174</v>
      </c>
      <c r="I21" s="197"/>
      <c r="J21" s="197"/>
      <c r="K21" s="197"/>
      <c r="L21" s="198"/>
      <c r="N21" s="184"/>
      <c r="O21" s="185"/>
      <c r="P21" s="185" t="s">
        <v>225</v>
      </c>
      <c r="Q21" s="187" t="s">
        <v>209</v>
      </c>
    </row>
    <row r="22" spans="1:12" ht="17.25" thickBot="1">
      <c r="A22" s="196"/>
      <c r="B22" s="197"/>
      <c r="C22" s="172" t="str">
        <f aca="true" t="shared" si="2" ref="C22:C29">H32</f>
        <v>楊鈞芪</v>
      </c>
      <c r="D22" s="176"/>
      <c r="F22" s="199"/>
      <c r="G22" s="200"/>
      <c r="H22" s="182" t="s">
        <v>165</v>
      </c>
      <c r="I22" s="200"/>
      <c r="J22" s="200"/>
      <c r="K22" s="200"/>
      <c r="L22" s="201"/>
    </row>
    <row r="23" spans="1:4" ht="16.5">
      <c r="A23" s="163"/>
      <c r="B23" s="164"/>
      <c r="C23" s="172" t="str">
        <f t="shared" si="2"/>
        <v>林雅華</v>
      </c>
      <c r="D23" s="176"/>
    </row>
    <row r="24" spans="1:12" ht="19.5">
      <c r="A24" s="193" t="str">
        <f>F34</f>
        <v>團體決賽局總分（9箭×3人）</v>
      </c>
      <c r="B24" s="194">
        <f>G34</f>
        <v>242</v>
      </c>
      <c r="C24" s="172" t="str">
        <f t="shared" si="2"/>
        <v>林宜螢</v>
      </c>
      <c r="D24" s="176"/>
      <c r="F24" s="150" t="s">
        <v>150</v>
      </c>
      <c r="G24" s="153"/>
      <c r="H24" s="153"/>
      <c r="I24" s="153"/>
      <c r="J24" s="153"/>
      <c r="K24" s="153"/>
      <c r="L24" s="151"/>
    </row>
    <row r="25" spans="1:12" ht="17.25" thickBot="1">
      <c r="A25" s="196"/>
      <c r="B25" s="197"/>
      <c r="C25" s="195" t="str">
        <f t="shared" si="2"/>
        <v>楊鈞芪</v>
      </c>
      <c r="F25" s="189" t="s">
        <v>226</v>
      </c>
      <c r="G25" s="151"/>
      <c r="H25" s="151"/>
      <c r="I25" s="151"/>
      <c r="J25" s="151"/>
      <c r="K25" s="151"/>
      <c r="L25" s="151"/>
    </row>
    <row r="26" spans="1:247" s="176" customFormat="1" ht="16.5">
      <c r="A26" s="163"/>
      <c r="B26" s="164"/>
      <c r="C26" s="195" t="str">
        <f t="shared" si="2"/>
        <v>賴芳美</v>
      </c>
      <c r="D26" s="153"/>
      <c r="E26" s="202"/>
      <c r="F26" s="155" t="s">
        <v>154</v>
      </c>
      <c r="G26" s="156" t="s">
        <v>155</v>
      </c>
      <c r="H26" s="156" t="s">
        <v>156</v>
      </c>
      <c r="I26" s="156" t="s">
        <v>157</v>
      </c>
      <c r="J26" s="159" t="s">
        <v>158</v>
      </c>
      <c r="K26" s="156" t="s">
        <v>159</v>
      </c>
      <c r="L26" s="157" t="s">
        <v>160</v>
      </c>
      <c r="M26" s="202"/>
      <c r="N26" s="152"/>
      <c r="O26" s="152"/>
      <c r="P26" s="152"/>
      <c r="Q26" s="15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</row>
    <row r="27" spans="1:17" ht="16.5">
      <c r="A27" s="193" t="str">
        <f>F37</f>
        <v>團體決賽局總分（27箭×2輪）</v>
      </c>
      <c r="B27" s="194">
        <f>G37</f>
        <v>477</v>
      </c>
      <c r="C27" s="172" t="str">
        <f t="shared" si="2"/>
        <v>林宜螢</v>
      </c>
      <c r="D27" s="151"/>
      <c r="F27" s="163" t="s">
        <v>227</v>
      </c>
      <c r="G27" s="164">
        <v>647</v>
      </c>
      <c r="H27" s="164" t="s">
        <v>174</v>
      </c>
      <c r="I27" s="203">
        <v>720</v>
      </c>
      <c r="J27" s="164" t="s">
        <v>228</v>
      </c>
      <c r="K27" s="164" t="s">
        <v>229</v>
      </c>
      <c r="L27" s="165" t="s">
        <v>230</v>
      </c>
      <c r="N27" s="202"/>
      <c r="O27" s="202"/>
      <c r="P27" s="202"/>
      <c r="Q27" s="202"/>
    </row>
    <row r="28" spans="1:12" ht="16.5">
      <c r="A28" s="196"/>
      <c r="B28" s="197"/>
      <c r="C28" s="172" t="str">
        <f t="shared" si="2"/>
        <v>楊鈞芪</v>
      </c>
      <c r="D28" s="202"/>
      <c r="F28" s="170" t="s">
        <v>231</v>
      </c>
      <c r="G28" s="171">
        <v>168</v>
      </c>
      <c r="H28" s="171" t="s">
        <v>174</v>
      </c>
      <c r="I28" s="204">
        <v>180</v>
      </c>
      <c r="J28" s="171" t="s">
        <v>232</v>
      </c>
      <c r="K28" s="171" t="s">
        <v>233</v>
      </c>
      <c r="L28" s="172" t="s">
        <v>234</v>
      </c>
    </row>
    <row r="29" spans="1:12" ht="17.25" thickBot="1">
      <c r="A29" s="199"/>
      <c r="B29" s="200"/>
      <c r="C29" s="183" t="str">
        <f t="shared" si="2"/>
        <v>賴芳美</v>
      </c>
      <c r="D29" s="176"/>
      <c r="F29" s="170" t="s">
        <v>235</v>
      </c>
      <c r="G29" s="171">
        <v>113</v>
      </c>
      <c r="H29" s="171" t="s">
        <v>186</v>
      </c>
      <c r="I29" s="204">
        <v>120</v>
      </c>
      <c r="J29" s="171" t="s">
        <v>236</v>
      </c>
      <c r="K29" s="171" t="s">
        <v>237</v>
      </c>
      <c r="L29" s="172" t="s">
        <v>238</v>
      </c>
    </row>
    <row r="30" spans="4:12" ht="16.5">
      <c r="D30" s="176"/>
      <c r="F30" s="170" t="s">
        <v>239</v>
      </c>
      <c r="G30" s="171">
        <v>319</v>
      </c>
      <c r="H30" s="171" t="s">
        <v>186</v>
      </c>
      <c r="I30" s="204">
        <v>360</v>
      </c>
      <c r="J30" s="171" t="s">
        <v>236</v>
      </c>
      <c r="K30" s="171" t="s">
        <v>237</v>
      </c>
      <c r="L30" s="172" t="s">
        <v>238</v>
      </c>
    </row>
    <row r="31" spans="4:12" ht="16.5">
      <c r="D31" s="176"/>
      <c r="F31" s="193" t="s">
        <v>240</v>
      </c>
      <c r="G31" s="194">
        <v>1906</v>
      </c>
      <c r="H31" s="171" t="s">
        <v>203</v>
      </c>
      <c r="I31" s="205">
        <v>2160</v>
      </c>
      <c r="J31" s="194" t="s">
        <v>241</v>
      </c>
      <c r="K31" s="206" t="s">
        <v>242</v>
      </c>
      <c r="L31" s="195" t="s">
        <v>243</v>
      </c>
    </row>
    <row r="32" spans="4:12" ht="16.5">
      <c r="D32" s="176"/>
      <c r="F32" s="196"/>
      <c r="G32" s="197"/>
      <c r="H32" s="171" t="s">
        <v>134</v>
      </c>
      <c r="I32" s="207"/>
      <c r="J32" s="197"/>
      <c r="K32" s="208"/>
      <c r="L32" s="198"/>
    </row>
    <row r="33" spans="4:12" ht="16.5">
      <c r="D33" s="176"/>
      <c r="F33" s="163"/>
      <c r="G33" s="164"/>
      <c r="H33" s="171" t="s">
        <v>135</v>
      </c>
      <c r="I33" s="203"/>
      <c r="J33" s="164"/>
      <c r="K33" s="209"/>
      <c r="L33" s="165"/>
    </row>
    <row r="34" spans="4:12" ht="16.5">
      <c r="D34" s="176"/>
      <c r="F34" s="193" t="s">
        <v>208</v>
      </c>
      <c r="G34" s="194">
        <v>242</v>
      </c>
      <c r="H34" s="171" t="s">
        <v>203</v>
      </c>
      <c r="I34" s="205">
        <v>270</v>
      </c>
      <c r="J34" s="194" t="s">
        <v>244</v>
      </c>
      <c r="K34" s="206" t="s">
        <v>245</v>
      </c>
      <c r="L34" s="195" t="s">
        <v>246</v>
      </c>
    </row>
    <row r="35" spans="4:12" ht="16.5">
      <c r="D35" s="176"/>
      <c r="F35" s="196"/>
      <c r="G35" s="197"/>
      <c r="H35" s="194" t="s">
        <v>134</v>
      </c>
      <c r="I35" s="207"/>
      <c r="J35" s="197"/>
      <c r="K35" s="208"/>
      <c r="L35" s="198"/>
    </row>
    <row r="36" spans="4:12" ht="16.5">
      <c r="D36" s="176"/>
      <c r="F36" s="163"/>
      <c r="G36" s="164"/>
      <c r="H36" s="194" t="s">
        <v>136</v>
      </c>
      <c r="I36" s="203"/>
      <c r="J36" s="164"/>
      <c r="K36" s="209"/>
      <c r="L36" s="165"/>
    </row>
    <row r="37" spans="4:12" ht="16.5">
      <c r="D37" s="176"/>
      <c r="F37" s="193" t="s">
        <v>247</v>
      </c>
      <c r="G37" s="194">
        <v>477</v>
      </c>
      <c r="H37" s="171" t="s">
        <v>203</v>
      </c>
      <c r="I37" s="205">
        <v>540</v>
      </c>
      <c r="J37" s="194" t="s">
        <v>244</v>
      </c>
      <c r="K37" s="206" t="s">
        <v>245</v>
      </c>
      <c r="L37" s="195" t="s">
        <v>246</v>
      </c>
    </row>
    <row r="38" spans="4:12" ht="16.5">
      <c r="D38" s="176"/>
      <c r="F38" s="196"/>
      <c r="G38" s="197"/>
      <c r="H38" s="171" t="s">
        <v>134</v>
      </c>
      <c r="I38" s="207"/>
      <c r="J38" s="197"/>
      <c r="K38" s="208"/>
      <c r="L38" s="198"/>
    </row>
    <row r="39" spans="4:12" ht="17.25" thickBot="1">
      <c r="D39" s="176"/>
      <c r="F39" s="199"/>
      <c r="G39" s="200"/>
      <c r="H39" s="182" t="s">
        <v>136</v>
      </c>
      <c r="I39" s="210"/>
      <c r="J39" s="200"/>
      <c r="K39" s="211"/>
      <c r="L39" s="201"/>
    </row>
    <row r="40" ht="16.5">
      <c r="D40" s="176"/>
    </row>
    <row r="41" spans="4:12" ht="19.5">
      <c r="D41" s="176"/>
      <c r="F41" s="150" t="s">
        <v>150</v>
      </c>
      <c r="G41" s="151"/>
      <c r="H41" s="151"/>
      <c r="I41" s="151"/>
      <c r="J41" s="151"/>
      <c r="K41" s="151"/>
      <c r="L41" s="151"/>
    </row>
    <row r="42" spans="6:12" ht="17.25" thickBot="1">
      <c r="F42" s="189" t="s">
        <v>248</v>
      </c>
      <c r="G42" s="151"/>
      <c r="H42" s="151"/>
      <c r="I42" s="151"/>
      <c r="J42" s="151"/>
      <c r="K42" s="151"/>
      <c r="L42" s="151"/>
    </row>
    <row r="43" spans="1:247" s="176" customFormat="1" ht="16.5">
      <c r="A43" s="152"/>
      <c r="B43" s="152"/>
      <c r="C43" s="152"/>
      <c r="D43" s="151"/>
      <c r="E43" s="202"/>
      <c r="F43" s="155" t="s">
        <v>154</v>
      </c>
      <c r="G43" s="156" t="s">
        <v>155</v>
      </c>
      <c r="H43" s="156" t="s">
        <v>156</v>
      </c>
      <c r="I43" s="156" t="s">
        <v>157</v>
      </c>
      <c r="J43" s="159" t="s">
        <v>158</v>
      </c>
      <c r="K43" s="156" t="s">
        <v>159</v>
      </c>
      <c r="L43" s="157" t="s">
        <v>160</v>
      </c>
      <c r="M43" s="202"/>
      <c r="N43" s="152"/>
      <c r="O43" s="152"/>
      <c r="P43" s="152"/>
      <c r="Q43" s="15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  <c r="IL43" s="202"/>
      <c r="IM43" s="202"/>
    </row>
    <row r="44" spans="4:17" ht="16.5">
      <c r="D44" s="151"/>
      <c r="F44" s="163" t="s">
        <v>249</v>
      </c>
      <c r="G44" s="164">
        <v>571</v>
      </c>
      <c r="H44" s="164" t="s">
        <v>250</v>
      </c>
      <c r="I44" s="164">
        <v>600</v>
      </c>
      <c r="J44" s="164" t="s">
        <v>251</v>
      </c>
      <c r="K44" s="164" t="s">
        <v>137</v>
      </c>
      <c r="L44" s="165" t="s">
        <v>252</v>
      </c>
      <c r="N44" s="202"/>
      <c r="O44" s="202"/>
      <c r="P44" s="202"/>
      <c r="Q44" s="202"/>
    </row>
    <row r="45" spans="4:12" ht="16.5">
      <c r="D45" s="202"/>
      <c r="F45" s="170" t="s">
        <v>253</v>
      </c>
      <c r="G45" s="171">
        <v>576</v>
      </c>
      <c r="H45" s="171" t="s">
        <v>165</v>
      </c>
      <c r="I45" s="171">
        <v>600</v>
      </c>
      <c r="J45" s="171" t="s">
        <v>254</v>
      </c>
      <c r="K45" s="171" t="s">
        <v>255</v>
      </c>
      <c r="L45" s="172" t="s">
        <v>168</v>
      </c>
    </row>
    <row r="46" spans="4:12" ht="16.5">
      <c r="D46" s="176"/>
      <c r="F46" s="170" t="s">
        <v>256</v>
      </c>
      <c r="G46" s="171">
        <v>172</v>
      </c>
      <c r="H46" s="171" t="s">
        <v>186</v>
      </c>
      <c r="I46" s="171">
        <v>180</v>
      </c>
      <c r="J46" s="171" t="s">
        <v>257</v>
      </c>
      <c r="K46" s="171" t="s">
        <v>258</v>
      </c>
      <c r="L46" s="172" t="s">
        <v>259</v>
      </c>
    </row>
    <row r="47" spans="4:12" ht="16.5">
      <c r="D47" s="176"/>
      <c r="F47" s="170" t="s">
        <v>260</v>
      </c>
      <c r="G47" s="171">
        <v>115</v>
      </c>
      <c r="H47" s="171" t="s">
        <v>186</v>
      </c>
      <c r="I47" s="171">
        <v>120</v>
      </c>
      <c r="J47" s="171" t="s">
        <v>257</v>
      </c>
      <c r="K47" s="171" t="s">
        <v>138</v>
      </c>
      <c r="L47" s="172" t="s">
        <v>259</v>
      </c>
    </row>
    <row r="48" spans="4:12" ht="16.5">
      <c r="D48" s="176"/>
      <c r="F48" s="170" t="s">
        <v>261</v>
      </c>
      <c r="G48" s="171">
        <v>337</v>
      </c>
      <c r="H48" s="171" t="s">
        <v>186</v>
      </c>
      <c r="I48" s="171">
        <v>360</v>
      </c>
      <c r="J48" s="171" t="s">
        <v>257</v>
      </c>
      <c r="K48" s="171" t="s">
        <v>139</v>
      </c>
      <c r="L48" s="172" t="s">
        <v>259</v>
      </c>
    </row>
    <row r="49" spans="4:12" ht="16.5">
      <c r="D49" s="176"/>
      <c r="F49" s="193" t="s">
        <v>208</v>
      </c>
      <c r="G49" s="194">
        <v>255</v>
      </c>
      <c r="H49" s="171" t="s">
        <v>262</v>
      </c>
      <c r="I49" s="194">
        <v>270</v>
      </c>
      <c r="J49" s="171" t="s">
        <v>257</v>
      </c>
      <c r="K49" s="194" t="s">
        <v>140</v>
      </c>
      <c r="L49" s="195" t="s">
        <v>259</v>
      </c>
    </row>
    <row r="50" spans="4:12" ht="16.5">
      <c r="D50" s="176"/>
      <c r="F50" s="196"/>
      <c r="G50" s="197"/>
      <c r="H50" s="194" t="s">
        <v>141</v>
      </c>
      <c r="I50" s="197"/>
      <c r="J50" s="197"/>
      <c r="K50" s="197"/>
      <c r="L50" s="198"/>
    </row>
    <row r="51" spans="4:12" ht="16.5">
      <c r="D51" s="176"/>
      <c r="F51" s="196"/>
      <c r="G51" s="197"/>
      <c r="H51" s="194" t="s">
        <v>142</v>
      </c>
      <c r="I51" s="197"/>
      <c r="J51" s="197"/>
      <c r="K51" s="197"/>
      <c r="L51" s="198"/>
    </row>
    <row r="52" spans="4:12" ht="16.5">
      <c r="D52" s="176"/>
      <c r="F52" s="212" t="s">
        <v>247</v>
      </c>
      <c r="G52" s="213">
        <v>500</v>
      </c>
      <c r="H52" s="214" t="s">
        <v>207</v>
      </c>
      <c r="I52" s="213">
        <v>540</v>
      </c>
      <c r="J52" s="213" t="s">
        <v>257</v>
      </c>
      <c r="K52" s="213" t="s">
        <v>143</v>
      </c>
      <c r="L52" s="215" t="s">
        <v>259</v>
      </c>
    </row>
    <row r="53" spans="4:12" ht="16.5">
      <c r="D53" s="176"/>
      <c r="F53" s="196"/>
      <c r="G53" s="197"/>
      <c r="H53" s="171" t="s">
        <v>144</v>
      </c>
      <c r="I53" s="197"/>
      <c r="J53" s="197"/>
      <c r="K53" s="197"/>
      <c r="L53" s="198"/>
    </row>
    <row r="54" spans="4:12" ht="17.25" thickBot="1">
      <c r="D54" s="176"/>
      <c r="F54" s="199"/>
      <c r="G54" s="200"/>
      <c r="H54" s="182" t="s">
        <v>145</v>
      </c>
      <c r="I54" s="200"/>
      <c r="J54" s="200"/>
      <c r="K54" s="200"/>
      <c r="L54" s="201"/>
    </row>
    <row r="55" ht="16.5">
      <c r="D55" s="176"/>
    </row>
    <row r="56" spans="4:12" ht="19.5">
      <c r="D56" s="176"/>
      <c r="F56" s="150" t="s">
        <v>263</v>
      </c>
      <c r="G56" s="151"/>
      <c r="H56" s="151"/>
      <c r="I56" s="151"/>
      <c r="J56" s="151"/>
      <c r="K56" s="151"/>
      <c r="L56" s="151"/>
    </row>
    <row r="57" spans="6:12" ht="17.25" thickBot="1">
      <c r="F57" s="153" t="s">
        <v>152</v>
      </c>
      <c r="G57" s="154"/>
      <c r="H57" s="154"/>
      <c r="I57" s="154"/>
      <c r="J57" s="153"/>
      <c r="K57" s="151"/>
      <c r="L57" s="151"/>
    </row>
    <row r="58" spans="4:12" ht="16.5">
      <c r="D58" s="151"/>
      <c r="F58" s="155" t="s">
        <v>154</v>
      </c>
      <c r="G58" s="156" t="s">
        <v>155</v>
      </c>
      <c r="H58" s="156" t="s">
        <v>156</v>
      </c>
      <c r="I58" s="156" t="s">
        <v>157</v>
      </c>
      <c r="J58" s="159" t="s">
        <v>158</v>
      </c>
      <c r="K58" s="156" t="s">
        <v>159</v>
      </c>
      <c r="L58" s="157" t="s">
        <v>160</v>
      </c>
    </row>
    <row r="59" spans="4:12" ht="16.5">
      <c r="D59" s="154"/>
      <c r="F59" s="163" t="s">
        <v>164</v>
      </c>
      <c r="G59" s="164">
        <v>1354</v>
      </c>
      <c r="H59" s="164" t="s">
        <v>264</v>
      </c>
      <c r="I59" s="164">
        <v>1440</v>
      </c>
      <c r="J59" s="164" t="s">
        <v>265</v>
      </c>
      <c r="K59" s="164" t="s">
        <v>266</v>
      </c>
      <c r="L59" s="165" t="s">
        <v>267</v>
      </c>
    </row>
    <row r="60" spans="4:12" ht="16.5">
      <c r="D60" s="202"/>
      <c r="F60" s="170" t="s">
        <v>173</v>
      </c>
      <c r="G60" s="171">
        <v>343</v>
      </c>
      <c r="H60" s="171" t="s">
        <v>268</v>
      </c>
      <c r="I60" s="171">
        <v>360</v>
      </c>
      <c r="J60" s="171" t="s">
        <v>269</v>
      </c>
      <c r="K60" s="171" t="s">
        <v>270</v>
      </c>
      <c r="L60" s="172" t="s">
        <v>271</v>
      </c>
    </row>
    <row r="61" spans="4:12" ht="16.5">
      <c r="D61" s="176"/>
      <c r="F61" s="170" t="s">
        <v>179</v>
      </c>
      <c r="G61" s="171">
        <v>347</v>
      </c>
      <c r="H61" s="171" t="s">
        <v>272</v>
      </c>
      <c r="I61" s="171">
        <v>360</v>
      </c>
      <c r="J61" s="171" t="s">
        <v>273</v>
      </c>
      <c r="K61" s="171" t="s">
        <v>274</v>
      </c>
      <c r="L61" s="172" t="s">
        <v>275</v>
      </c>
    </row>
    <row r="62" spans="4:12" ht="16.5">
      <c r="D62" s="176"/>
      <c r="F62" s="170" t="s">
        <v>185</v>
      </c>
      <c r="G62" s="171">
        <v>337</v>
      </c>
      <c r="H62" s="171" t="s">
        <v>276</v>
      </c>
      <c r="I62" s="171">
        <v>360</v>
      </c>
      <c r="J62" s="171" t="s">
        <v>277</v>
      </c>
      <c r="K62" s="171" t="s">
        <v>278</v>
      </c>
      <c r="L62" s="172" t="s">
        <v>279</v>
      </c>
    </row>
    <row r="63" spans="4:12" ht="16.5">
      <c r="D63" s="176"/>
      <c r="F63" s="170" t="s">
        <v>192</v>
      </c>
      <c r="G63" s="171">
        <v>353</v>
      </c>
      <c r="H63" s="171" t="s">
        <v>280</v>
      </c>
      <c r="I63" s="171">
        <v>360</v>
      </c>
      <c r="J63" s="171" t="s">
        <v>281</v>
      </c>
      <c r="K63" s="171" t="s">
        <v>282</v>
      </c>
      <c r="L63" s="172" t="s">
        <v>283</v>
      </c>
    </row>
    <row r="64" spans="4:12" ht="16.5">
      <c r="D64" s="176"/>
      <c r="F64" s="193" t="s">
        <v>196</v>
      </c>
      <c r="G64" s="194">
        <v>3974</v>
      </c>
      <c r="H64" s="171" t="s">
        <v>264</v>
      </c>
      <c r="I64" s="194">
        <v>4320</v>
      </c>
      <c r="J64" s="194" t="s">
        <v>265</v>
      </c>
      <c r="K64" s="194" t="s">
        <v>266</v>
      </c>
      <c r="L64" s="195" t="s">
        <v>267</v>
      </c>
    </row>
    <row r="65" spans="4:12" ht="16.5">
      <c r="D65" s="176"/>
      <c r="F65" s="196"/>
      <c r="G65" s="197"/>
      <c r="H65" s="171" t="s">
        <v>268</v>
      </c>
      <c r="I65" s="197"/>
      <c r="J65" s="197"/>
      <c r="K65" s="197"/>
      <c r="L65" s="198"/>
    </row>
    <row r="66" spans="4:12" ht="17.25" thickBot="1">
      <c r="D66" s="176"/>
      <c r="F66" s="199"/>
      <c r="G66" s="200"/>
      <c r="H66" s="182" t="s">
        <v>280</v>
      </c>
      <c r="I66" s="200"/>
      <c r="J66" s="200"/>
      <c r="K66" s="200"/>
      <c r="L66" s="201"/>
    </row>
    <row r="67" ht="16.5">
      <c r="D67" s="176"/>
    </row>
    <row r="68" spans="4:12" ht="19.5">
      <c r="D68" s="176"/>
      <c r="F68" s="150" t="s">
        <v>263</v>
      </c>
      <c r="G68" s="151"/>
      <c r="H68" s="151"/>
      <c r="I68" s="151"/>
      <c r="J68" s="151"/>
      <c r="K68" s="151"/>
      <c r="L68" s="151"/>
    </row>
    <row r="69" spans="6:12" ht="17.25" thickBot="1">
      <c r="F69" s="189" t="s">
        <v>226</v>
      </c>
      <c r="G69" s="151"/>
      <c r="H69" s="151"/>
      <c r="I69" s="151"/>
      <c r="J69" s="151"/>
      <c r="K69" s="151"/>
      <c r="L69" s="151"/>
    </row>
    <row r="70" spans="1:17" s="216" customFormat="1" ht="16.5">
      <c r="A70" s="152"/>
      <c r="B70" s="152"/>
      <c r="C70" s="152"/>
      <c r="D70" s="151"/>
      <c r="F70" s="155" t="s">
        <v>154</v>
      </c>
      <c r="G70" s="156" t="s">
        <v>155</v>
      </c>
      <c r="H70" s="156" t="s">
        <v>156</v>
      </c>
      <c r="I70" s="156" t="s">
        <v>157</v>
      </c>
      <c r="J70" s="159" t="s">
        <v>158</v>
      </c>
      <c r="K70" s="156" t="s">
        <v>159</v>
      </c>
      <c r="L70" s="157" t="s">
        <v>160</v>
      </c>
      <c r="N70" s="152"/>
      <c r="O70" s="152"/>
      <c r="P70" s="152"/>
      <c r="Q70" s="152"/>
    </row>
    <row r="71" spans="4:17" ht="16.5">
      <c r="D71" s="151"/>
      <c r="F71" s="163" t="s">
        <v>284</v>
      </c>
      <c r="G71" s="164">
        <v>652</v>
      </c>
      <c r="H71" s="164" t="s">
        <v>276</v>
      </c>
      <c r="I71" s="203">
        <v>720</v>
      </c>
      <c r="J71" s="164" t="s">
        <v>285</v>
      </c>
      <c r="K71" s="164" t="s">
        <v>286</v>
      </c>
      <c r="L71" s="165" t="s">
        <v>271</v>
      </c>
      <c r="N71" s="216"/>
      <c r="O71" s="216"/>
      <c r="P71" s="216"/>
      <c r="Q71" s="216"/>
    </row>
    <row r="72" spans="4:12" ht="16.5">
      <c r="D72" s="202"/>
      <c r="F72" s="170" t="s">
        <v>231</v>
      </c>
      <c r="G72" s="171">
        <v>169</v>
      </c>
      <c r="H72" s="171" t="s">
        <v>272</v>
      </c>
      <c r="I72" s="204">
        <v>180</v>
      </c>
      <c r="J72" s="171" t="s">
        <v>287</v>
      </c>
      <c r="K72" s="171" t="s">
        <v>288</v>
      </c>
      <c r="L72" s="172" t="s">
        <v>289</v>
      </c>
    </row>
    <row r="73" spans="4:12" ht="16.5">
      <c r="D73" s="176"/>
      <c r="F73" s="170" t="s">
        <v>235</v>
      </c>
      <c r="G73" s="171">
        <v>115</v>
      </c>
      <c r="H73" s="171" t="s">
        <v>272</v>
      </c>
      <c r="I73" s="204">
        <v>120</v>
      </c>
      <c r="J73" s="171" t="s">
        <v>265</v>
      </c>
      <c r="K73" s="171" t="s">
        <v>288</v>
      </c>
      <c r="L73" s="172" t="s">
        <v>289</v>
      </c>
    </row>
    <row r="74" spans="4:12" ht="16.5">
      <c r="D74" s="176"/>
      <c r="F74" s="170" t="s">
        <v>239</v>
      </c>
      <c r="G74" s="171">
        <v>333</v>
      </c>
      <c r="H74" s="171" t="s">
        <v>276</v>
      </c>
      <c r="I74" s="204">
        <v>360</v>
      </c>
      <c r="J74" s="171" t="s">
        <v>265</v>
      </c>
      <c r="K74" s="171" t="s">
        <v>286</v>
      </c>
      <c r="L74" s="172" t="s">
        <v>271</v>
      </c>
    </row>
    <row r="75" spans="4:12" ht="16.5">
      <c r="D75" s="176"/>
      <c r="F75" s="193" t="s">
        <v>208</v>
      </c>
      <c r="G75" s="194">
        <v>248</v>
      </c>
      <c r="H75" s="171" t="s">
        <v>272</v>
      </c>
      <c r="I75" s="205">
        <v>270</v>
      </c>
      <c r="J75" s="194" t="s">
        <v>290</v>
      </c>
      <c r="K75" s="206" t="s">
        <v>291</v>
      </c>
      <c r="L75" s="195" t="s">
        <v>289</v>
      </c>
    </row>
    <row r="76" spans="4:12" ht="16.5">
      <c r="D76" s="176"/>
      <c r="F76" s="196"/>
      <c r="G76" s="197"/>
      <c r="H76" s="194" t="s">
        <v>146</v>
      </c>
      <c r="I76" s="207"/>
      <c r="J76" s="197"/>
      <c r="K76" s="208"/>
      <c r="L76" s="198"/>
    </row>
    <row r="77" spans="4:12" ht="16.5">
      <c r="D77" s="176"/>
      <c r="F77" s="163"/>
      <c r="G77" s="164"/>
      <c r="H77" s="194" t="s">
        <v>147</v>
      </c>
      <c r="I77" s="203"/>
      <c r="J77" s="164"/>
      <c r="K77" s="209"/>
      <c r="L77" s="165"/>
    </row>
    <row r="78" spans="4:12" ht="16.5">
      <c r="D78" s="176"/>
      <c r="F78" s="193" t="s">
        <v>247</v>
      </c>
      <c r="G78" s="194">
        <v>486</v>
      </c>
      <c r="H78" s="171" t="s">
        <v>272</v>
      </c>
      <c r="I78" s="205">
        <v>540</v>
      </c>
      <c r="J78" s="194" t="s">
        <v>290</v>
      </c>
      <c r="K78" s="206" t="s">
        <v>291</v>
      </c>
      <c r="L78" s="195" t="s">
        <v>289</v>
      </c>
    </row>
    <row r="79" spans="4:12" ht="16.5">
      <c r="D79" s="176"/>
      <c r="F79" s="196"/>
      <c r="G79" s="197"/>
      <c r="H79" s="171" t="s">
        <v>146</v>
      </c>
      <c r="I79" s="207"/>
      <c r="J79" s="197"/>
      <c r="K79" s="208"/>
      <c r="L79" s="198"/>
    </row>
    <row r="80" spans="4:12" ht="17.25" thickBot="1">
      <c r="D80" s="176"/>
      <c r="F80" s="199"/>
      <c r="G80" s="200"/>
      <c r="H80" s="182" t="s">
        <v>147</v>
      </c>
      <c r="I80" s="210"/>
      <c r="J80" s="200"/>
      <c r="K80" s="211"/>
      <c r="L80" s="201"/>
    </row>
    <row r="81" ht="16.5">
      <c r="D81" s="176"/>
    </row>
    <row r="82" spans="4:12" ht="19.5">
      <c r="D82" s="176"/>
      <c r="F82" s="150" t="s">
        <v>263</v>
      </c>
      <c r="G82" s="151"/>
      <c r="H82" s="151"/>
      <c r="I82" s="151"/>
      <c r="J82" s="151"/>
      <c r="K82" s="151"/>
      <c r="L82" s="151"/>
    </row>
    <row r="83" spans="6:12" ht="17.25" thickBot="1">
      <c r="F83" s="189" t="s">
        <v>248</v>
      </c>
      <c r="G83" s="151"/>
      <c r="H83" s="151"/>
      <c r="I83" s="151"/>
      <c r="J83" s="151"/>
      <c r="K83" s="151"/>
      <c r="L83" s="151"/>
    </row>
    <row r="84" spans="1:17" s="216" customFormat="1" ht="16.5">
      <c r="A84" s="152"/>
      <c r="B84" s="152"/>
      <c r="C84" s="152"/>
      <c r="D84" s="151"/>
      <c r="F84" s="155" t="s">
        <v>154</v>
      </c>
      <c r="G84" s="156" t="s">
        <v>155</v>
      </c>
      <c r="H84" s="156" t="s">
        <v>156</v>
      </c>
      <c r="I84" s="156" t="s">
        <v>157</v>
      </c>
      <c r="J84" s="159" t="s">
        <v>158</v>
      </c>
      <c r="K84" s="156" t="s">
        <v>159</v>
      </c>
      <c r="L84" s="157" t="s">
        <v>160</v>
      </c>
      <c r="N84" s="152"/>
      <c r="O84" s="152"/>
      <c r="P84" s="152"/>
      <c r="Q84" s="152"/>
    </row>
    <row r="85" spans="4:17" ht="16.5">
      <c r="D85" s="151"/>
      <c r="F85" s="163" t="s">
        <v>253</v>
      </c>
      <c r="G85" s="164">
        <v>575</v>
      </c>
      <c r="H85" s="164" t="s">
        <v>292</v>
      </c>
      <c r="I85" s="164">
        <v>600</v>
      </c>
      <c r="J85" s="164" t="s">
        <v>293</v>
      </c>
      <c r="K85" s="164" t="s">
        <v>294</v>
      </c>
      <c r="L85" s="165" t="s">
        <v>295</v>
      </c>
      <c r="N85" s="216"/>
      <c r="O85" s="216"/>
      <c r="P85" s="216"/>
      <c r="Q85" s="216"/>
    </row>
    <row r="86" spans="4:12" ht="16.5">
      <c r="D86" s="202"/>
      <c r="F86" s="170" t="s">
        <v>256</v>
      </c>
      <c r="G86" s="171">
        <v>176</v>
      </c>
      <c r="H86" s="171" t="s">
        <v>292</v>
      </c>
      <c r="I86" s="171">
        <v>180</v>
      </c>
      <c r="J86" s="171" t="s">
        <v>293</v>
      </c>
      <c r="K86" s="171" t="s">
        <v>294</v>
      </c>
      <c r="L86" s="172" t="s">
        <v>295</v>
      </c>
    </row>
    <row r="87" spans="4:12" ht="16.5">
      <c r="D87" s="176"/>
      <c r="F87" s="170" t="s">
        <v>260</v>
      </c>
      <c r="G87" s="171">
        <v>117</v>
      </c>
      <c r="H87" s="171" t="s">
        <v>296</v>
      </c>
      <c r="I87" s="171">
        <v>120</v>
      </c>
      <c r="J87" s="171" t="s">
        <v>297</v>
      </c>
      <c r="K87" s="171" t="s">
        <v>298</v>
      </c>
      <c r="L87" s="172" t="s">
        <v>299</v>
      </c>
    </row>
    <row r="88" spans="4:12" ht="17.25" thickBot="1">
      <c r="D88" s="176"/>
      <c r="F88" s="181" t="s">
        <v>261</v>
      </c>
      <c r="G88" s="182">
        <v>343</v>
      </c>
      <c r="H88" s="182" t="s">
        <v>296</v>
      </c>
      <c r="I88" s="182">
        <v>360</v>
      </c>
      <c r="J88" s="182" t="s">
        <v>297</v>
      </c>
      <c r="K88" s="182" t="s">
        <v>298</v>
      </c>
      <c r="L88" s="183" t="s">
        <v>299</v>
      </c>
    </row>
    <row r="89" ht="16.5">
      <c r="D89" s="176"/>
    </row>
    <row r="90" ht="16.5">
      <c r="D90" s="176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T21"/>
  <sheetViews>
    <sheetView showGridLines="0" tabSelected="1" zoomScale="75" zoomScaleNormal="75" workbookViewId="0" topLeftCell="A4">
      <pane xSplit="3" topLeftCell="D1" activePane="topRight" state="frozen"/>
      <selection pane="topLeft" activeCell="A1" sqref="A1"/>
      <selection pane="topRight" activeCell="BC3" sqref="BC1:BC16384"/>
    </sheetView>
  </sheetViews>
  <sheetFormatPr defaultColWidth="9.00390625" defaultRowHeight="16.5"/>
  <cols>
    <col min="1" max="1" width="6.375" style="69" customWidth="1"/>
    <col min="2" max="2" width="16.75390625" style="69" customWidth="1"/>
    <col min="3" max="3" width="11.25390625" style="69" customWidth="1"/>
    <col min="4" max="4" width="6.50390625" style="69" customWidth="1"/>
    <col min="5" max="5" width="5.125" style="69" customWidth="1"/>
    <col min="6" max="6" width="5.375" style="69" customWidth="1"/>
    <col min="7" max="7" width="3.625" style="69" hidden="1" customWidth="1"/>
    <col min="8" max="8" width="5.875" style="69" hidden="1" customWidth="1"/>
    <col min="9" max="10" width="5.25390625" style="69" customWidth="1"/>
    <col min="11" max="11" width="3.625" style="69" hidden="1" customWidth="1"/>
    <col min="12" max="12" width="5.125" style="69" customWidth="1"/>
    <col min="13" max="13" width="3.625" style="69" hidden="1" customWidth="1"/>
    <col min="14" max="14" width="5.125" style="69" hidden="1" customWidth="1"/>
    <col min="15" max="15" width="4.50390625" style="69" customWidth="1"/>
    <col min="16" max="16" width="5.125" style="69" customWidth="1"/>
    <col min="17" max="17" width="3.50390625" style="69" hidden="1" customWidth="1"/>
    <col min="18" max="18" width="5.50390625" style="69" customWidth="1"/>
    <col min="19" max="19" width="3.625" style="69" hidden="1" customWidth="1"/>
    <col min="20" max="20" width="5.125" style="69" hidden="1" customWidth="1"/>
    <col min="21" max="21" width="4.50390625" style="69" customWidth="1"/>
    <col min="22" max="22" width="5.125" style="69" customWidth="1"/>
    <col min="23" max="23" width="5.50390625" style="69" hidden="1" customWidth="1"/>
    <col min="24" max="24" width="6.125" style="69" customWidth="1"/>
    <col min="25" max="25" width="3.75390625" style="69" hidden="1" customWidth="1"/>
    <col min="26" max="26" width="4.625" style="69" hidden="1" customWidth="1"/>
    <col min="27" max="27" width="4.125" style="69" customWidth="1"/>
    <col min="28" max="28" width="5.125" style="69" customWidth="1"/>
    <col min="29" max="29" width="3.625" style="69" hidden="1" customWidth="1"/>
    <col min="30" max="30" width="6.00390625" style="69" customWidth="1"/>
    <col min="31" max="32" width="4.625" style="69" hidden="1" customWidth="1"/>
    <col min="33" max="33" width="4.625" style="69" customWidth="1"/>
    <col min="34" max="34" width="5.625" style="69" customWidth="1"/>
    <col min="35" max="35" width="3.625" style="69" hidden="1" customWidth="1"/>
    <col min="36" max="36" width="5.875" style="69" customWidth="1"/>
    <col min="37" max="38" width="4.50390625" style="69" hidden="1" customWidth="1"/>
    <col min="39" max="39" width="4.375" style="69" customWidth="1"/>
    <col min="40" max="40" width="5.00390625" style="69" customWidth="1"/>
    <col min="41" max="41" width="3.625" style="69" hidden="1" customWidth="1"/>
    <col min="42" max="42" width="6.00390625" style="69" customWidth="1"/>
    <col min="43" max="44" width="4.625" style="69" hidden="1" customWidth="1"/>
    <col min="45" max="45" width="3.875" style="69" customWidth="1"/>
    <col min="46" max="46" width="4.75390625" style="69" customWidth="1"/>
    <col min="47" max="47" width="3.625" style="69" hidden="1" customWidth="1"/>
    <col min="48" max="48" width="5.50390625" style="69" customWidth="1"/>
    <col min="49" max="50" width="4.625" style="69" hidden="1" customWidth="1"/>
    <col min="51" max="51" width="3.625" style="69" customWidth="1"/>
    <col min="52" max="52" width="5.125" style="69" customWidth="1"/>
    <col min="53" max="53" width="3.625" style="69" hidden="1" customWidth="1"/>
    <col min="54" max="54" width="4.625" style="69" customWidth="1"/>
    <col min="55" max="55" width="4.75390625" style="69" hidden="1" customWidth="1"/>
    <col min="56" max="56" width="5.75390625" style="69" hidden="1" customWidth="1"/>
    <col min="57" max="57" width="4.75390625" style="69" customWidth="1"/>
    <col min="58" max="58" width="5.375" style="69" customWidth="1"/>
    <col min="59" max="59" width="8.375" style="69" customWidth="1"/>
    <col min="60" max="60" width="4.75390625" style="69" hidden="1" customWidth="1"/>
    <col min="61" max="61" width="7.375" style="69" hidden="1" customWidth="1"/>
    <col min="62" max="62" width="5.375" style="69" customWidth="1"/>
    <col min="63" max="63" width="5.00390625" style="69" customWidth="1"/>
    <col min="64" max="64" width="9.00390625" style="69" bestFit="1" customWidth="1"/>
    <col min="65" max="65" width="8.00390625" style="69" bestFit="1" customWidth="1"/>
    <col min="66" max="68" width="3.625" style="69" hidden="1" customWidth="1"/>
    <col min="69" max="69" width="0" style="69" hidden="1" customWidth="1"/>
    <col min="70" max="70" width="9.625" style="69" customWidth="1"/>
    <col min="71" max="71" width="27.125" style="69" customWidth="1"/>
    <col min="72" max="72" width="21.25390625" style="69" bestFit="1" customWidth="1"/>
    <col min="73" max="16384" width="9.00390625" style="69" customWidth="1"/>
  </cols>
  <sheetData>
    <row r="1" spans="1:72" ht="28.5" customHeight="1" thickBot="1">
      <c r="A1" s="89" t="s">
        <v>329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66"/>
      <c r="BS1" s="268"/>
      <c r="BT1" s="91"/>
    </row>
    <row r="2" spans="1:72" ht="32.25" customHeight="1" thickBot="1">
      <c r="A2" s="92" t="s">
        <v>27</v>
      </c>
      <c r="B2" s="93" t="s">
        <v>59</v>
      </c>
      <c r="C2" s="94"/>
      <c r="D2" s="95"/>
      <c r="E2" s="96"/>
      <c r="F2" s="97" t="s">
        <v>51</v>
      </c>
      <c r="G2" s="97"/>
      <c r="H2" s="97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67"/>
      <c r="BS2" s="267"/>
      <c r="BT2" s="91"/>
    </row>
    <row r="3" spans="1:72" ht="16.5" customHeight="1">
      <c r="A3" s="99" t="s">
        <v>28</v>
      </c>
      <c r="B3" s="100"/>
      <c r="C3" s="100"/>
      <c r="D3" s="100"/>
      <c r="E3" s="101"/>
      <c r="F3" s="102" t="s">
        <v>29</v>
      </c>
      <c r="G3" s="102"/>
      <c r="H3" s="102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338" t="s">
        <v>53</v>
      </c>
      <c r="BC3" s="347" t="s">
        <v>52</v>
      </c>
      <c r="BD3" s="347"/>
      <c r="BE3" s="341" t="s">
        <v>54</v>
      </c>
      <c r="BF3" s="344" t="s">
        <v>55</v>
      </c>
      <c r="BG3" s="322" t="s">
        <v>109</v>
      </c>
      <c r="BH3" s="335" t="s">
        <v>30</v>
      </c>
      <c r="BI3" s="335"/>
      <c r="BJ3" s="330" t="s">
        <v>110</v>
      </c>
      <c r="BK3" s="325" t="s">
        <v>111</v>
      </c>
      <c r="BL3" s="322" t="s">
        <v>49</v>
      </c>
      <c r="BM3" s="325" t="s">
        <v>48</v>
      </c>
      <c r="BN3" s="102" t="s">
        <v>30</v>
      </c>
      <c r="BO3" s="100"/>
      <c r="BP3" s="100"/>
      <c r="BQ3" s="316" t="s">
        <v>31</v>
      </c>
      <c r="BR3" s="319" t="s">
        <v>56</v>
      </c>
      <c r="BS3" s="311" t="s">
        <v>325</v>
      </c>
      <c r="BT3" s="91"/>
    </row>
    <row r="4" spans="1:71" ht="17.25" customHeight="1">
      <c r="A4" s="350" t="s">
        <v>32</v>
      </c>
      <c r="B4" s="354" t="s">
        <v>102</v>
      </c>
      <c r="C4" s="355"/>
      <c r="D4" s="352" t="s">
        <v>33</v>
      </c>
      <c r="E4" s="358" t="s">
        <v>34</v>
      </c>
      <c r="F4" s="103" t="s">
        <v>35</v>
      </c>
      <c r="G4" s="103"/>
      <c r="H4" s="103"/>
      <c r="I4" s="104"/>
      <c r="J4" s="104"/>
      <c r="K4" s="105"/>
      <c r="L4" s="106" t="s">
        <v>36</v>
      </c>
      <c r="M4" s="103"/>
      <c r="N4" s="103"/>
      <c r="O4" s="104"/>
      <c r="P4" s="104"/>
      <c r="Q4" s="105"/>
      <c r="R4" s="106" t="s">
        <v>37</v>
      </c>
      <c r="S4" s="103"/>
      <c r="T4" s="103"/>
      <c r="U4" s="104"/>
      <c r="V4" s="104"/>
      <c r="W4" s="105"/>
      <c r="X4" s="106" t="s">
        <v>38</v>
      </c>
      <c r="Y4" s="103"/>
      <c r="Z4" s="103"/>
      <c r="AA4" s="104"/>
      <c r="AB4" s="104"/>
      <c r="AC4" s="105"/>
      <c r="AD4" s="106" t="s">
        <v>39</v>
      </c>
      <c r="AE4" s="103"/>
      <c r="AF4" s="103"/>
      <c r="AG4" s="104"/>
      <c r="AH4" s="104"/>
      <c r="AI4" s="105"/>
      <c r="AJ4" s="106" t="s">
        <v>40</v>
      </c>
      <c r="AK4" s="103"/>
      <c r="AL4" s="103"/>
      <c r="AM4" s="104"/>
      <c r="AN4" s="104"/>
      <c r="AO4" s="105"/>
      <c r="AP4" s="106" t="s">
        <v>41</v>
      </c>
      <c r="AQ4" s="103"/>
      <c r="AR4" s="103"/>
      <c r="AS4" s="104"/>
      <c r="AT4" s="104"/>
      <c r="AU4" s="105"/>
      <c r="AV4" s="106" t="s">
        <v>42</v>
      </c>
      <c r="AW4" s="103"/>
      <c r="AX4" s="103"/>
      <c r="AY4" s="104"/>
      <c r="AZ4" s="104"/>
      <c r="BA4" s="105"/>
      <c r="BB4" s="339"/>
      <c r="BC4" s="348"/>
      <c r="BD4" s="348"/>
      <c r="BE4" s="342"/>
      <c r="BF4" s="345"/>
      <c r="BG4" s="328"/>
      <c r="BH4" s="336"/>
      <c r="BI4" s="336"/>
      <c r="BJ4" s="331"/>
      <c r="BK4" s="333"/>
      <c r="BL4" s="323"/>
      <c r="BM4" s="293"/>
      <c r="BN4" s="326" t="s">
        <v>43</v>
      </c>
      <c r="BO4" s="314" t="s">
        <v>44</v>
      </c>
      <c r="BP4" s="314" t="s">
        <v>45</v>
      </c>
      <c r="BQ4" s="317"/>
      <c r="BR4" s="320"/>
      <c r="BS4" s="312"/>
    </row>
    <row r="5" spans="1:71" s="112" customFormat="1" ht="81" customHeight="1" thickBot="1">
      <c r="A5" s="351"/>
      <c r="B5" s="356"/>
      <c r="C5" s="357"/>
      <c r="D5" s="353"/>
      <c r="E5" s="359"/>
      <c r="F5" s="107" t="s">
        <v>33</v>
      </c>
      <c r="G5" s="110" t="s">
        <v>46</v>
      </c>
      <c r="H5" s="111"/>
      <c r="I5" s="108" t="s">
        <v>32</v>
      </c>
      <c r="J5" s="108" t="s">
        <v>47</v>
      </c>
      <c r="K5" s="109" t="s">
        <v>47</v>
      </c>
      <c r="L5" s="107" t="s">
        <v>33</v>
      </c>
      <c r="M5" s="110" t="s">
        <v>46</v>
      </c>
      <c r="N5" s="111"/>
      <c r="O5" s="108" t="s">
        <v>32</v>
      </c>
      <c r="P5" s="108" t="s">
        <v>47</v>
      </c>
      <c r="Q5" s="109" t="s">
        <v>47</v>
      </c>
      <c r="R5" s="107" t="s">
        <v>33</v>
      </c>
      <c r="S5" s="110" t="s">
        <v>46</v>
      </c>
      <c r="T5" s="111"/>
      <c r="U5" s="108" t="s">
        <v>32</v>
      </c>
      <c r="V5" s="108" t="s">
        <v>47</v>
      </c>
      <c r="W5" s="109" t="s">
        <v>47</v>
      </c>
      <c r="X5" s="107" t="s">
        <v>33</v>
      </c>
      <c r="Y5" s="110" t="s">
        <v>46</v>
      </c>
      <c r="Z5" s="111"/>
      <c r="AA5" s="108" t="s">
        <v>32</v>
      </c>
      <c r="AB5" s="108" t="s">
        <v>47</v>
      </c>
      <c r="AC5" s="109" t="s">
        <v>47</v>
      </c>
      <c r="AD5" s="107" t="s">
        <v>33</v>
      </c>
      <c r="AE5" s="110" t="s">
        <v>46</v>
      </c>
      <c r="AF5" s="111"/>
      <c r="AG5" s="108" t="s">
        <v>32</v>
      </c>
      <c r="AH5" s="108" t="s">
        <v>47</v>
      </c>
      <c r="AI5" s="109" t="s">
        <v>47</v>
      </c>
      <c r="AJ5" s="107" t="s">
        <v>33</v>
      </c>
      <c r="AK5" s="110" t="s">
        <v>46</v>
      </c>
      <c r="AL5" s="111"/>
      <c r="AM5" s="108" t="s">
        <v>32</v>
      </c>
      <c r="AN5" s="108" t="s">
        <v>47</v>
      </c>
      <c r="AO5" s="109" t="s">
        <v>47</v>
      </c>
      <c r="AP5" s="107" t="s">
        <v>33</v>
      </c>
      <c r="AQ5" s="110" t="s">
        <v>46</v>
      </c>
      <c r="AR5" s="110"/>
      <c r="AS5" s="108" t="s">
        <v>32</v>
      </c>
      <c r="AT5" s="108" t="s">
        <v>47</v>
      </c>
      <c r="AU5" s="109" t="s">
        <v>47</v>
      </c>
      <c r="AV5" s="107" t="s">
        <v>33</v>
      </c>
      <c r="AW5" s="110" t="s">
        <v>46</v>
      </c>
      <c r="AX5" s="110"/>
      <c r="AY5" s="108" t="s">
        <v>32</v>
      </c>
      <c r="AZ5" s="108" t="s">
        <v>47</v>
      </c>
      <c r="BA5" s="109" t="s">
        <v>47</v>
      </c>
      <c r="BB5" s="340"/>
      <c r="BC5" s="349"/>
      <c r="BD5" s="349"/>
      <c r="BE5" s="343"/>
      <c r="BF5" s="346"/>
      <c r="BG5" s="329"/>
      <c r="BH5" s="337"/>
      <c r="BI5" s="337"/>
      <c r="BJ5" s="332"/>
      <c r="BK5" s="334"/>
      <c r="BL5" s="324"/>
      <c r="BM5" s="294"/>
      <c r="BN5" s="327"/>
      <c r="BO5" s="315"/>
      <c r="BP5" s="315"/>
      <c r="BQ5" s="318"/>
      <c r="BR5" s="321"/>
      <c r="BS5" s="313"/>
    </row>
    <row r="6" spans="1:71" ht="34.5" customHeight="1" thickBot="1">
      <c r="A6" s="259">
        <v>1</v>
      </c>
      <c r="B6" s="309" t="s">
        <v>324</v>
      </c>
      <c r="C6" s="310"/>
      <c r="D6" s="113">
        <f>'個人資格賽'!FI5</f>
        <v>2604</v>
      </c>
      <c r="E6" s="114">
        <v>40</v>
      </c>
      <c r="F6" s="113">
        <v>156</v>
      </c>
      <c r="G6" s="282"/>
      <c r="H6" s="115">
        <f aca="true" t="shared" si="0" ref="H6:H19">F6+G6/100</f>
        <v>156</v>
      </c>
      <c r="I6" s="122">
        <f aca="true" t="shared" si="1" ref="I6:I19">IF(F6="","",RANK(H6,$H$6:$H$19))</f>
        <v>5</v>
      </c>
      <c r="J6" s="116">
        <f>IF(F6="","",HLOOKUP(I6,'積點'!$A$1:$O$20,3))</f>
        <v>5</v>
      </c>
      <c r="K6" s="114">
        <f>IF(F6="","",HLOOKUP(I6,'積點'!$A$1:$O$20,4))</f>
        <v>5</v>
      </c>
      <c r="L6" s="113">
        <v>160</v>
      </c>
      <c r="M6" s="282"/>
      <c r="N6" s="115">
        <f aca="true" t="shared" si="2" ref="N6:N19">L6+M6/100</f>
        <v>160</v>
      </c>
      <c r="O6" s="122">
        <f aca="true" t="shared" si="3" ref="O6:O19">IF(L6="","",RANK(N6,$N$6:$N$19))</f>
        <v>2</v>
      </c>
      <c r="P6" s="116">
        <f>IF(L6="","",HLOOKUP(O6,'積點'!$A$1:$O$20,5))</f>
        <v>8</v>
      </c>
      <c r="Q6" s="114">
        <f>IF(L6="","",HLOOKUP(O6,'積點'!$A$1:$O$20,6))</f>
        <v>8</v>
      </c>
      <c r="R6" s="113">
        <v>166</v>
      </c>
      <c r="S6" s="282"/>
      <c r="T6" s="115">
        <f aca="true" t="shared" si="4" ref="T6:T19">R6+S6/100</f>
        <v>166</v>
      </c>
      <c r="U6" s="122">
        <f aca="true" t="shared" si="5" ref="U6:U19">IF(R6="","",RANK(T6,$T$6:$T$19))</f>
        <v>2</v>
      </c>
      <c r="V6" s="116">
        <f>IF(R6="","",HLOOKUP(U6,'積點'!$A$1:$O$20,7))</f>
        <v>8</v>
      </c>
      <c r="W6" s="114">
        <f>IF(R6="","",HLOOKUP(U6,'積點'!$A$1:$O$20,8))</f>
        <v>8</v>
      </c>
      <c r="X6" s="113">
        <v>154</v>
      </c>
      <c r="Y6" s="282"/>
      <c r="Z6" s="115">
        <f aca="true" t="shared" si="6" ref="Z6:Z19">X6+Y6/100</f>
        <v>154</v>
      </c>
      <c r="AA6" s="122">
        <f aca="true" t="shared" si="7" ref="AA6:AA13">IF(X6="","",RANK(Z6,$Z$6:$Z$19))</f>
        <v>3</v>
      </c>
      <c r="AB6" s="116">
        <f>IF(X6="","",HLOOKUP(AA6,'積點'!$A$1:$O$20,9))</f>
        <v>7</v>
      </c>
      <c r="AC6" s="114">
        <f>IF(X6="","",HLOOKUP(AA6,'積點'!$A$1:$O$20,10))</f>
        <v>7</v>
      </c>
      <c r="AD6" s="137">
        <v>155</v>
      </c>
      <c r="AE6" s="138"/>
      <c r="AF6" s="115">
        <f aca="true" t="shared" si="8" ref="AF6:AF19">AD6+AE6/100</f>
        <v>155</v>
      </c>
      <c r="AG6" s="116">
        <f aca="true" t="shared" si="9" ref="AG6:AG19">IF(AD6="","",RANK(AF6,$AF$6:$AF$19))</f>
        <v>6</v>
      </c>
      <c r="AH6" s="116">
        <f>IF(AD6="","",HLOOKUP(AG6,'積點'!$A$1:$O$20,11))</f>
        <v>4</v>
      </c>
      <c r="AI6" s="114">
        <f>IF(AD6="","",HLOOKUP(AG6,'積點'!$A$1:$O$20,12))</f>
        <v>4</v>
      </c>
      <c r="AJ6" s="137">
        <v>159</v>
      </c>
      <c r="AK6" s="138"/>
      <c r="AL6" s="115">
        <f aca="true" t="shared" si="10" ref="AL6:AL19">AJ6+AK6/100</f>
        <v>159</v>
      </c>
      <c r="AM6" s="116">
        <f aca="true" t="shared" si="11" ref="AM6:AM19">IF(AJ6="","",RANK(AL6,$AL$6:$AL$19))</f>
        <v>3</v>
      </c>
      <c r="AN6" s="116">
        <f>IF(AJ6="","",HLOOKUP(AM6,'積點'!$A$1:$O$20,13))</f>
        <v>7</v>
      </c>
      <c r="AO6" s="114">
        <f>IF(AJ6="","",HLOOKUP(AM6,'積點'!$A$1:$O$20,14))</f>
        <v>7</v>
      </c>
      <c r="AP6" s="137">
        <v>162</v>
      </c>
      <c r="AQ6" s="138"/>
      <c r="AR6" s="115">
        <f aca="true" t="shared" si="12" ref="AR6:AR19">AP6+AQ6/100</f>
        <v>162</v>
      </c>
      <c r="AS6" s="116">
        <f aca="true" t="shared" si="13" ref="AS6:AS19">IF(AP6="","",RANK(AR6,$AR$6:$AR$19))</f>
        <v>3</v>
      </c>
      <c r="AT6" s="116">
        <f>IF(AP6="","",HLOOKUP(AS6,'積點'!$A$1:$O$20,15))</f>
        <v>7</v>
      </c>
      <c r="AU6" s="114">
        <f>IF(AP6="","",HLOOKUP(AS6,'積點'!$A$1:$O$20,16))</f>
        <v>7</v>
      </c>
      <c r="AV6" s="137">
        <v>167</v>
      </c>
      <c r="AW6" s="138"/>
      <c r="AX6" s="115">
        <f aca="true" t="shared" si="14" ref="AX6:AX19">AV6+AW6/100</f>
        <v>167</v>
      </c>
      <c r="AY6" s="116">
        <f aca="true" t="shared" si="15" ref="AY6:AY19">IF(AV6="","",RANK(AX6,$AX$6:$AX$19))</f>
        <v>2</v>
      </c>
      <c r="AZ6" s="116">
        <f>IF(AV6="","",HLOOKUP(AY6,'積點'!$A$1:$O$20,17))</f>
        <v>8</v>
      </c>
      <c r="BA6" s="114">
        <f>IF(AV6="","",HLOOKUP(AY6,'積點'!$A$1:$O$20,18))</f>
        <v>8</v>
      </c>
      <c r="BB6" s="113">
        <f aca="true" t="shared" si="16" ref="BB6:BB19">IF(K6="","",SUM(K6,Q6,W6,AC6,AI6,AO6,AU6,BA6))</f>
        <v>54</v>
      </c>
      <c r="BC6" s="138"/>
      <c r="BD6" s="115">
        <f aca="true" t="shared" si="17" ref="BD6:BD19">IF(BB6="","",INT(CONCATENATE(BB6+10000,BC6+100)))</f>
        <v>10054100</v>
      </c>
      <c r="BE6" s="116">
        <f aca="true" t="shared" si="18" ref="BE6:BE19">IF(BB6="","",RANK(BD6,$BD$6:$BD$19))</f>
        <v>2</v>
      </c>
      <c r="BF6" s="134">
        <f>IF(BE6="","",HLOOKUP(BE6,'積點'!$A$1:$O$20,20))</f>
        <v>21</v>
      </c>
      <c r="BG6" s="113">
        <f aca="true" t="shared" si="19" ref="BG6:BG19">IF(F6="","",INT(F6+L6+R6+X6+AD6+AJ6+AP6+AV6))</f>
        <v>1279</v>
      </c>
      <c r="BH6" s="270"/>
      <c r="BI6" s="116">
        <f aca="true" t="shared" si="20" ref="BI6:BI19">IF(BG6="","",INT(CONCATENATE(BG6+10000,BH6+100)))</f>
        <v>11279100</v>
      </c>
      <c r="BJ6" s="116">
        <f aca="true" t="shared" si="21" ref="BJ6:BJ19">IF(BG6="","",RANK(BI6,$BI$6:$BI$19))</f>
        <v>2</v>
      </c>
      <c r="BK6" s="114">
        <f>IF(BJ6="","",HLOOKUP(BJ6,'積點'!$A$1:$O$20,19))</f>
        <v>32</v>
      </c>
      <c r="BL6" s="117">
        <f aca="true" t="shared" si="22" ref="BL6:BL19">IF(E6="","",SUM(E6,BF6,BK6))</f>
        <v>93</v>
      </c>
      <c r="BM6" s="118">
        <f aca="true" t="shared" si="23" ref="BM6:BM19">IF(BL6="","",RANK(BQ6,$BQ$6:$BQ$19))</f>
        <v>2</v>
      </c>
      <c r="BN6" s="273"/>
      <c r="BO6" s="274"/>
      <c r="BP6" s="275"/>
      <c r="BQ6" s="118">
        <f aca="true" t="shared" si="24" ref="BQ6:BQ19">IF(BL6="","",INT(CONCATENATE(BL6+100+BN6+BO6+BP6)))</f>
        <v>193</v>
      </c>
      <c r="BR6" s="68">
        <f aca="true" t="shared" si="25" ref="BR6:BR19">IF(BL6="","",BL6*0.3)</f>
        <v>27.9</v>
      </c>
      <c r="BS6" s="263"/>
    </row>
    <row r="7" spans="1:71" ht="67.5" customHeight="1" thickBot="1">
      <c r="A7" s="260">
        <v>2</v>
      </c>
      <c r="B7" s="309" t="s">
        <v>311</v>
      </c>
      <c r="C7" s="310"/>
      <c r="D7" s="113">
        <f>'個人資格賽'!FI6</f>
        <v>2587</v>
      </c>
      <c r="E7" s="120">
        <v>37</v>
      </c>
      <c r="F7" s="119">
        <v>156</v>
      </c>
      <c r="G7" s="283"/>
      <c r="H7" s="121">
        <f t="shared" si="0"/>
        <v>156</v>
      </c>
      <c r="I7" s="122">
        <f t="shared" si="1"/>
        <v>5</v>
      </c>
      <c r="J7" s="122">
        <f>IF(F7="","",HLOOKUP(I7,'積點'!$A$1:$O$20,3))</f>
        <v>5</v>
      </c>
      <c r="K7" s="120">
        <f>IF(F7="","",HLOOKUP(I7,'積點'!$A$1:$O$20,4))</f>
        <v>5</v>
      </c>
      <c r="L7" s="119">
        <v>156</v>
      </c>
      <c r="M7" s="283"/>
      <c r="N7" s="121">
        <f t="shared" si="2"/>
        <v>156</v>
      </c>
      <c r="O7" s="122">
        <f t="shared" si="3"/>
        <v>5</v>
      </c>
      <c r="P7" s="122">
        <f>IF(L7="","",HLOOKUP(O7,'積點'!$A$1:$O$20,5))</f>
        <v>5</v>
      </c>
      <c r="Q7" s="120">
        <f>IF(L7="","",HLOOKUP(O7,'積點'!$A$1:$O$20,6))</f>
        <v>5</v>
      </c>
      <c r="R7" s="119">
        <v>173</v>
      </c>
      <c r="S7" s="283"/>
      <c r="T7" s="121">
        <f t="shared" si="4"/>
        <v>173</v>
      </c>
      <c r="U7" s="122">
        <f t="shared" si="5"/>
        <v>1</v>
      </c>
      <c r="V7" s="122">
        <f>IF(R7="","",HLOOKUP(U7,'積點'!$A$1:$O$20,7))</f>
        <v>9</v>
      </c>
      <c r="W7" s="120">
        <f>IF(R7="","",HLOOKUP(U7,'積點'!$A$1:$O$20,8))</f>
        <v>9</v>
      </c>
      <c r="X7" s="119">
        <v>160</v>
      </c>
      <c r="Y7" s="283"/>
      <c r="Z7" s="121">
        <f t="shared" si="6"/>
        <v>160</v>
      </c>
      <c r="AA7" s="122">
        <f t="shared" si="7"/>
        <v>2</v>
      </c>
      <c r="AB7" s="122">
        <f>IF(X7="","",HLOOKUP(AA7,'積點'!$A$1:$O$20,9))</f>
        <v>8</v>
      </c>
      <c r="AC7" s="120">
        <f>IF(X7="","",HLOOKUP(AA7,'積點'!$A$1:$O$20,10))</f>
        <v>8</v>
      </c>
      <c r="AD7" s="139">
        <v>162</v>
      </c>
      <c r="AE7" s="140"/>
      <c r="AF7" s="121">
        <f t="shared" si="8"/>
        <v>162</v>
      </c>
      <c r="AG7" s="122">
        <f t="shared" si="9"/>
        <v>1</v>
      </c>
      <c r="AH7" s="122">
        <f>IF(AD7="","",HLOOKUP(AG7,'積點'!$A$1:$O$20,11))</f>
        <v>9</v>
      </c>
      <c r="AI7" s="120">
        <f>IF(AD7="","",HLOOKUP(AG7,'積點'!$A$1:$O$20,12))</f>
        <v>9</v>
      </c>
      <c r="AJ7" s="139">
        <v>161</v>
      </c>
      <c r="AK7" s="140"/>
      <c r="AL7" s="121">
        <f t="shared" si="10"/>
        <v>161</v>
      </c>
      <c r="AM7" s="122">
        <f t="shared" si="11"/>
        <v>2</v>
      </c>
      <c r="AN7" s="122">
        <f>IF(AJ7="","",HLOOKUP(AM7,'積點'!$A$1:$O$20,13))</f>
        <v>8</v>
      </c>
      <c r="AO7" s="120">
        <f>IF(AJ7="","",HLOOKUP(AM7,'積點'!$A$1:$O$20,14))</f>
        <v>8</v>
      </c>
      <c r="AP7" s="139">
        <v>162</v>
      </c>
      <c r="AQ7" s="140"/>
      <c r="AR7" s="121">
        <f t="shared" si="12"/>
        <v>162</v>
      </c>
      <c r="AS7" s="122">
        <f t="shared" si="13"/>
        <v>3</v>
      </c>
      <c r="AT7" s="122">
        <f>IF(AP7="","",HLOOKUP(AS7,'積點'!$A$1:$O$20,15))</f>
        <v>7</v>
      </c>
      <c r="AU7" s="120">
        <f>IF(AP7="","",HLOOKUP(AS7,'積點'!$A$1:$O$20,16))</f>
        <v>7</v>
      </c>
      <c r="AV7" s="139">
        <v>170</v>
      </c>
      <c r="AW7" s="140"/>
      <c r="AX7" s="121">
        <f t="shared" si="14"/>
        <v>170</v>
      </c>
      <c r="AY7" s="122">
        <f t="shared" si="15"/>
        <v>1</v>
      </c>
      <c r="AZ7" s="122">
        <f>IF(AV7="","",HLOOKUP(AY7,'積點'!$A$1:$O$20,17))</f>
        <v>9</v>
      </c>
      <c r="BA7" s="120">
        <f>IF(AV7="","",HLOOKUP(AY7,'積點'!$A$1:$O$20,18))</f>
        <v>9</v>
      </c>
      <c r="BB7" s="119">
        <f t="shared" si="16"/>
        <v>60</v>
      </c>
      <c r="BC7" s="140"/>
      <c r="BD7" s="121">
        <f t="shared" si="17"/>
        <v>10060100</v>
      </c>
      <c r="BE7" s="122">
        <f t="shared" si="18"/>
        <v>1</v>
      </c>
      <c r="BF7" s="135">
        <f>IF(BE7="","",HLOOKUP(BE7,'積點'!$A$1:$O$20,20))</f>
        <v>24</v>
      </c>
      <c r="BG7" s="119">
        <f t="shared" si="19"/>
        <v>1300</v>
      </c>
      <c r="BH7" s="271"/>
      <c r="BI7" s="122">
        <f t="shared" si="20"/>
        <v>11300100</v>
      </c>
      <c r="BJ7" s="122">
        <f t="shared" si="21"/>
        <v>1</v>
      </c>
      <c r="BK7" s="120">
        <f>IF(BJ7="","",HLOOKUP(BJ7,'積點'!$A$1:$O$20,19))</f>
        <v>36</v>
      </c>
      <c r="BL7" s="117">
        <f t="shared" si="22"/>
        <v>97</v>
      </c>
      <c r="BM7" s="118">
        <f t="shared" si="23"/>
        <v>1</v>
      </c>
      <c r="BN7" s="276"/>
      <c r="BO7" s="277"/>
      <c r="BP7" s="278"/>
      <c r="BQ7" s="118">
        <f t="shared" si="24"/>
        <v>197</v>
      </c>
      <c r="BR7" s="68">
        <f t="shared" si="25"/>
        <v>29.099999999999998</v>
      </c>
      <c r="BS7" s="266" t="s">
        <v>326</v>
      </c>
    </row>
    <row r="8" spans="1:71" ht="34.5" customHeight="1" thickBot="1">
      <c r="A8" s="259">
        <v>3</v>
      </c>
      <c r="B8" s="309" t="s">
        <v>312</v>
      </c>
      <c r="C8" s="310"/>
      <c r="D8" s="113">
        <f>'個人資格賽'!FI7</f>
        <v>2562</v>
      </c>
      <c r="E8" s="120">
        <v>34</v>
      </c>
      <c r="F8" s="119">
        <v>156</v>
      </c>
      <c r="G8" s="283"/>
      <c r="H8" s="121">
        <f t="shared" si="0"/>
        <v>156</v>
      </c>
      <c r="I8" s="122">
        <f t="shared" si="1"/>
        <v>5</v>
      </c>
      <c r="J8" s="122">
        <f>IF(F8="","",HLOOKUP(I8,'積點'!$A$1:$O$20,3))</f>
        <v>5</v>
      </c>
      <c r="K8" s="120">
        <f>IF(F8="","",HLOOKUP(I8,'積點'!$A$1:$O$20,4))</f>
        <v>5</v>
      </c>
      <c r="L8" s="119">
        <v>158</v>
      </c>
      <c r="M8" s="283"/>
      <c r="N8" s="121">
        <f t="shared" si="2"/>
        <v>158</v>
      </c>
      <c r="O8" s="122">
        <f t="shared" si="3"/>
        <v>4</v>
      </c>
      <c r="P8" s="122">
        <f>IF(L8="","",HLOOKUP(O8,'積點'!$A$1:$O$20,5))</f>
        <v>6</v>
      </c>
      <c r="Q8" s="120">
        <f>IF(L8="","",HLOOKUP(O8,'積點'!$A$1:$O$20,6))</f>
        <v>6</v>
      </c>
      <c r="R8" s="119">
        <v>162</v>
      </c>
      <c r="S8" s="283"/>
      <c r="T8" s="121">
        <f t="shared" si="4"/>
        <v>162</v>
      </c>
      <c r="U8" s="122">
        <f t="shared" si="5"/>
        <v>3</v>
      </c>
      <c r="V8" s="122">
        <f>IF(R8="","",HLOOKUP(U8,'積點'!$A$1:$O$20,7))</f>
        <v>7</v>
      </c>
      <c r="W8" s="120">
        <f>IF(R8="","",HLOOKUP(U8,'積點'!$A$1:$O$20,8))</f>
        <v>7</v>
      </c>
      <c r="X8" s="119">
        <v>148</v>
      </c>
      <c r="Y8" s="283"/>
      <c r="Z8" s="121">
        <f t="shared" si="6"/>
        <v>148</v>
      </c>
      <c r="AA8" s="122">
        <f t="shared" si="7"/>
        <v>8</v>
      </c>
      <c r="AB8" s="122">
        <f>IF(X8="","",HLOOKUP(AA8,'積點'!$A$1:$O$20,9))</f>
        <v>2</v>
      </c>
      <c r="AC8" s="120">
        <f>IF(X8="","",HLOOKUP(AA8,'積點'!$A$1:$O$20,10))</f>
        <v>2</v>
      </c>
      <c r="AD8" s="139">
        <v>158</v>
      </c>
      <c r="AE8" s="140"/>
      <c r="AF8" s="121">
        <f t="shared" si="8"/>
        <v>158</v>
      </c>
      <c r="AG8" s="122">
        <f t="shared" si="9"/>
        <v>3</v>
      </c>
      <c r="AH8" s="122">
        <f>IF(AD8="","",HLOOKUP(AG8,'積點'!$A$1:$O$20,11))</f>
        <v>7</v>
      </c>
      <c r="AI8" s="120">
        <f>IF(AD8="","",HLOOKUP(AG8,'積點'!$A$1:$O$20,12))</f>
        <v>7</v>
      </c>
      <c r="AJ8" s="139">
        <v>162</v>
      </c>
      <c r="AK8" s="140"/>
      <c r="AL8" s="121">
        <f t="shared" si="10"/>
        <v>162</v>
      </c>
      <c r="AM8" s="122">
        <f t="shared" si="11"/>
        <v>1</v>
      </c>
      <c r="AN8" s="122">
        <f>IF(AJ8="","",HLOOKUP(AM8,'積點'!$A$1:$O$20,13))</f>
        <v>9</v>
      </c>
      <c r="AO8" s="120">
        <f>IF(AJ8="","",HLOOKUP(AM8,'積點'!$A$1:$O$20,14))</f>
        <v>9</v>
      </c>
      <c r="AP8" s="139">
        <v>168</v>
      </c>
      <c r="AQ8" s="140"/>
      <c r="AR8" s="121">
        <f t="shared" si="12"/>
        <v>168</v>
      </c>
      <c r="AS8" s="122">
        <f t="shared" si="13"/>
        <v>1</v>
      </c>
      <c r="AT8" s="122">
        <f>IF(AP8="","",HLOOKUP(AS8,'積點'!$A$1:$O$20,15))</f>
        <v>9</v>
      </c>
      <c r="AU8" s="120">
        <f>IF(AP8="","",HLOOKUP(AS8,'積點'!$A$1:$O$20,16))</f>
        <v>9</v>
      </c>
      <c r="AV8" s="139">
        <v>164</v>
      </c>
      <c r="AW8" s="140"/>
      <c r="AX8" s="121">
        <f t="shared" si="14"/>
        <v>164</v>
      </c>
      <c r="AY8" s="122">
        <f t="shared" si="15"/>
        <v>4</v>
      </c>
      <c r="AZ8" s="122">
        <f>IF(AV8="","",HLOOKUP(AY8,'積點'!$A$1:$O$20,17))</f>
        <v>6</v>
      </c>
      <c r="BA8" s="120">
        <f>IF(AV8="","",HLOOKUP(AY8,'積點'!$A$1:$O$20,18))</f>
        <v>6</v>
      </c>
      <c r="BB8" s="119">
        <f t="shared" si="16"/>
        <v>51</v>
      </c>
      <c r="BC8" s="140"/>
      <c r="BD8" s="121">
        <f t="shared" si="17"/>
        <v>10051100</v>
      </c>
      <c r="BE8" s="122">
        <f t="shared" si="18"/>
        <v>3</v>
      </c>
      <c r="BF8" s="135">
        <f>IF(BE8="","",HLOOKUP(BE8,'積點'!$A$1:$O$20,20))</f>
        <v>18</v>
      </c>
      <c r="BG8" s="119">
        <f t="shared" si="19"/>
        <v>1276</v>
      </c>
      <c r="BH8" s="271"/>
      <c r="BI8" s="122">
        <f t="shared" si="20"/>
        <v>11276100</v>
      </c>
      <c r="BJ8" s="122">
        <f t="shared" si="21"/>
        <v>3</v>
      </c>
      <c r="BK8" s="120">
        <f>IF(BJ8="","",HLOOKUP(BJ8,'積點'!$A$1:$O$20,19))</f>
        <v>28</v>
      </c>
      <c r="BL8" s="117">
        <f t="shared" si="22"/>
        <v>80</v>
      </c>
      <c r="BM8" s="118">
        <f t="shared" si="23"/>
        <v>3</v>
      </c>
      <c r="BN8" s="276"/>
      <c r="BO8" s="277"/>
      <c r="BP8" s="278"/>
      <c r="BQ8" s="118">
        <f t="shared" si="24"/>
        <v>180</v>
      </c>
      <c r="BR8" s="68">
        <f t="shared" si="25"/>
        <v>24</v>
      </c>
      <c r="BS8" s="264"/>
    </row>
    <row r="9" spans="1:71" ht="34.5" customHeight="1" thickBot="1">
      <c r="A9" s="260">
        <v>4</v>
      </c>
      <c r="B9" s="309" t="s">
        <v>313</v>
      </c>
      <c r="C9" s="310"/>
      <c r="D9" s="113">
        <f>'個人資格賽'!FI8</f>
        <v>2558</v>
      </c>
      <c r="E9" s="120">
        <v>31</v>
      </c>
      <c r="F9" s="119">
        <v>160</v>
      </c>
      <c r="G9" s="283"/>
      <c r="H9" s="121">
        <f t="shared" si="0"/>
        <v>160</v>
      </c>
      <c r="I9" s="122">
        <f t="shared" si="1"/>
        <v>3</v>
      </c>
      <c r="J9" s="122">
        <f>IF(F9="","",HLOOKUP(I9,'積點'!$A$1:$O$20,3))</f>
        <v>7</v>
      </c>
      <c r="K9" s="120">
        <f>IF(F9="","",HLOOKUP(I9,'積點'!$A$1:$O$20,4))</f>
        <v>7</v>
      </c>
      <c r="L9" s="119">
        <v>156</v>
      </c>
      <c r="M9" s="283"/>
      <c r="N9" s="121">
        <f t="shared" si="2"/>
        <v>156</v>
      </c>
      <c r="O9" s="122">
        <f t="shared" si="3"/>
        <v>5</v>
      </c>
      <c r="P9" s="122">
        <f>IF(L9="","",HLOOKUP(O9,'積點'!$A$1:$O$20,5))</f>
        <v>5</v>
      </c>
      <c r="Q9" s="120">
        <f>IF(L9="","",HLOOKUP(O9,'積點'!$A$1:$O$20,6))</f>
        <v>5</v>
      </c>
      <c r="R9" s="119">
        <v>147</v>
      </c>
      <c r="S9" s="283"/>
      <c r="T9" s="121">
        <f t="shared" si="4"/>
        <v>147</v>
      </c>
      <c r="U9" s="122">
        <f t="shared" si="5"/>
        <v>12</v>
      </c>
      <c r="V9" s="122" t="str">
        <f>IF(R9="","",HLOOKUP(U9,'積點'!$A$1:$O$20,7))</f>
        <v>淘汰</v>
      </c>
      <c r="W9" s="120">
        <f>IF(R9="","",HLOOKUP(U9,'積點'!$A$1:$O$20,8))</f>
        <v>0</v>
      </c>
      <c r="X9" s="119"/>
      <c r="Y9" s="283"/>
      <c r="Z9" s="121">
        <f t="shared" si="6"/>
        <v>0</v>
      </c>
      <c r="AA9" s="122">
        <f t="shared" si="7"/>
      </c>
      <c r="AB9" s="122">
        <f>IF(X9="","",HLOOKUP(AA9,'積點'!$A$1:$O$20,9))</f>
      </c>
      <c r="AC9" s="120">
        <f>IF(X9="","",HLOOKUP(AA9,'積點'!$A$1:$O$20,10))</f>
      </c>
      <c r="AD9" s="139"/>
      <c r="AE9" s="140"/>
      <c r="AF9" s="121">
        <f t="shared" si="8"/>
        <v>0</v>
      </c>
      <c r="AG9" s="122">
        <f t="shared" si="9"/>
      </c>
      <c r="AH9" s="122">
        <f>IF(AD9="","",HLOOKUP(AG9,'積點'!$A$1:$O$20,11))</f>
      </c>
      <c r="AI9" s="120">
        <f>IF(AD9="","",HLOOKUP(AG9,'積點'!$A$1:$O$20,12))</f>
      </c>
      <c r="AJ9" s="139"/>
      <c r="AK9" s="140"/>
      <c r="AL9" s="121">
        <f t="shared" si="10"/>
        <v>0</v>
      </c>
      <c r="AM9" s="122">
        <f t="shared" si="11"/>
      </c>
      <c r="AN9" s="122">
        <f>IF(AJ9="","",HLOOKUP(AM9,'積點'!$A$1:$O$20,13))</f>
      </c>
      <c r="AO9" s="120">
        <f>IF(AJ9="","",HLOOKUP(AM9,'積點'!$A$1:$O$20,14))</f>
      </c>
      <c r="AP9" s="139"/>
      <c r="AQ9" s="140"/>
      <c r="AR9" s="121">
        <f t="shared" si="12"/>
        <v>0</v>
      </c>
      <c r="AS9" s="122">
        <f t="shared" si="13"/>
      </c>
      <c r="AT9" s="122">
        <f>IF(AP9="","",HLOOKUP(AS9,'積點'!$A$1:$O$20,15))</f>
      </c>
      <c r="AU9" s="120">
        <f>IF(AP9="","",HLOOKUP(AS9,'積點'!$A$1:$O$20,16))</f>
      </c>
      <c r="AV9" s="139"/>
      <c r="AW9" s="140"/>
      <c r="AX9" s="121">
        <f t="shared" si="14"/>
        <v>0</v>
      </c>
      <c r="AY9" s="122">
        <f t="shared" si="15"/>
      </c>
      <c r="AZ9" s="122">
        <f>IF(AV9="","",HLOOKUP(AY9,'積點'!$A$1:$O$20,17))</f>
      </c>
      <c r="BA9" s="120">
        <f>IF(AV9="","",HLOOKUP(AY9,'積點'!$A$1:$O$20,18))</f>
      </c>
      <c r="BB9" s="119">
        <f t="shared" si="16"/>
        <v>12</v>
      </c>
      <c r="BC9" s="140">
        <v>10</v>
      </c>
      <c r="BD9" s="121">
        <f t="shared" si="17"/>
        <v>10012110</v>
      </c>
      <c r="BE9" s="122">
        <f t="shared" si="18"/>
        <v>8</v>
      </c>
      <c r="BF9" s="135">
        <f>IF(BE9="","",HLOOKUP(BE9,'積點'!$A$1:$O$20,20))</f>
        <v>4</v>
      </c>
      <c r="BG9" s="119">
        <f t="shared" si="19"/>
        <v>463</v>
      </c>
      <c r="BH9" s="271"/>
      <c r="BI9" s="122">
        <f t="shared" si="20"/>
        <v>10463100</v>
      </c>
      <c r="BJ9" s="122">
        <f t="shared" si="21"/>
        <v>12</v>
      </c>
      <c r="BK9" s="120">
        <f>IF(BJ9="","",HLOOKUP(BJ9,'積點'!$A$1:$O$20,19))</f>
        <v>0</v>
      </c>
      <c r="BL9" s="117">
        <f t="shared" si="22"/>
        <v>35</v>
      </c>
      <c r="BM9" s="118">
        <f t="shared" si="23"/>
        <v>8</v>
      </c>
      <c r="BN9" s="276"/>
      <c r="BO9" s="277"/>
      <c r="BP9" s="278"/>
      <c r="BQ9" s="118">
        <f t="shared" si="24"/>
        <v>135</v>
      </c>
      <c r="BR9" s="68">
        <f t="shared" si="25"/>
        <v>10.5</v>
      </c>
      <c r="BS9" s="264"/>
    </row>
    <row r="10" spans="1:71" ht="34.5" customHeight="1" thickBot="1">
      <c r="A10" s="259">
        <v>5</v>
      </c>
      <c r="B10" s="309" t="s">
        <v>314</v>
      </c>
      <c r="C10" s="310"/>
      <c r="D10" s="113">
        <f>'個人資格賽'!FI9</f>
        <v>2503</v>
      </c>
      <c r="E10" s="120">
        <v>28</v>
      </c>
      <c r="F10" s="119">
        <v>160</v>
      </c>
      <c r="G10" s="283"/>
      <c r="H10" s="121">
        <f t="shared" si="0"/>
        <v>160</v>
      </c>
      <c r="I10" s="122">
        <f t="shared" si="1"/>
        <v>3</v>
      </c>
      <c r="J10" s="122">
        <f>IF(F10="","",HLOOKUP(I10,'積點'!$A$1:$O$20,3))</f>
        <v>7</v>
      </c>
      <c r="K10" s="120">
        <f>IF(F10="","",HLOOKUP(I10,'積點'!$A$1:$O$20,4))</f>
        <v>7</v>
      </c>
      <c r="L10" s="119">
        <v>151</v>
      </c>
      <c r="M10" s="283"/>
      <c r="N10" s="121">
        <f t="shared" si="2"/>
        <v>151</v>
      </c>
      <c r="O10" s="122">
        <f t="shared" si="3"/>
        <v>10</v>
      </c>
      <c r="P10" s="122">
        <f>IF(L10="","",HLOOKUP(O10,'積點'!$A$1:$O$20,5))</f>
        <v>0</v>
      </c>
      <c r="Q10" s="120">
        <f>IF(L10="","",HLOOKUP(O10,'積點'!$A$1:$O$20,6))</f>
        <v>0</v>
      </c>
      <c r="R10" s="119">
        <v>161</v>
      </c>
      <c r="S10" s="283"/>
      <c r="T10" s="121">
        <f t="shared" si="4"/>
        <v>161</v>
      </c>
      <c r="U10" s="122">
        <f t="shared" si="5"/>
        <v>4</v>
      </c>
      <c r="V10" s="122">
        <f>IF(R10="","",HLOOKUP(U10,'積點'!$A$1:$O$20,7))</f>
        <v>6</v>
      </c>
      <c r="W10" s="120">
        <f>IF(R10="","",HLOOKUP(U10,'積點'!$A$1:$O$20,8))</f>
        <v>6</v>
      </c>
      <c r="X10" s="119">
        <v>149</v>
      </c>
      <c r="Y10" s="283"/>
      <c r="Z10" s="121">
        <f t="shared" si="6"/>
        <v>149</v>
      </c>
      <c r="AA10" s="122">
        <f t="shared" si="7"/>
        <v>6</v>
      </c>
      <c r="AB10" s="122">
        <f>IF(X10="","",HLOOKUP(AA10,'積點'!$A$1:$O$20,9))</f>
        <v>4</v>
      </c>
      <c r="AC10" s="120">
        <f>IF(X10="","",HLOOKUP(AA10,'積點'!$A$1:$O$20,10))</f>
        <v>4</v>
      </c>
      <c r="AD10" s="139">
        <v>156</v>
      </c>
      <c r="AE10" s="140"/>
      <c r="AF10" s="121">
        <f t="shared" si="8"/>
        <v>156</v>
      </c>
      <c r="AG10" s="122">
        <f t="shared" si="9"/>
        <v>4</v>
      </c>
      <c r="AH10" s="122">
        <f>IF(AD10="","",HLOOKUP(AG10,'積點'!$A$1:$O$20,11))</f>
        <v>6</v>
      </c>
      <c r="AI10" s="120">
        <f>IF(AD10="","",HLOOKUP(AG10,'積點'!$A$1:$O$20,12))</f>
        <v>6</v>
      </c>
      <c r="AJ10" s="139">
        <v>159</v>
      </c>
      <c r="AK10" s="140"/>
      <c r="AL10" s="121">
        <f t="shared" si="10"/>
        <v>159</v>
      </c>
      <c r="AM10" s="122">
        <f t="shared" si="11"/>
        <v>3</v>
      </c>
      <c r="AN10" s="122">
        <f>IF(AJ10="","",HLOOKUP(AM10,'積點'!$A$1:$O$20,13))</f>
        <v>7</v>
      </c>
      <c r="AO10" s="120">
        <f>IF(AJ10="","",HLOOKUP(AM10,'積點'!$A$1:$O$20,14))</f>
        <v>7</v>
      </c>
      <c r="AP10" s="139">
        <v>160</v>
      </c>
      <c r="AQ10" s="140"/>
      <c r="AR10" s="121">
        <f t="shared" si="12"/>
        <v>160</v>
      </c>
      <c r="AS10" s="122">
        <f t="shared" si="13"/>
        <v>6</v>
      </c>
      <c r="AT10" s="122">
        <f>IF(AP10="","",HLOOKUP(AS10,'積點'!$A$1:$O$20,15))</f>
        <v>4</v>
      </c>
      <c r="AU10" s="120">
        <f>IF(AP10="","",HLOOKUP(AS10,'積點'!$A$1:$O$20,16))</f>
        <v>4</v>
      </c>
      <c r="AV10" s="139">
        <v>165</v>
      </c>
      <c r="AW10" s="140"/>
      <c r="AX10" s="121">
        <f t="shared" si="14"/>
        <v>165</v>
      </c>
      <c r="AY10" s="122">
        <f t="shared" si="15"/>
        <v>3</v>
      </c>
      <c r="AZ10" s="122">
        <f>IF(AV10="","",HLOOKUP(AY10,'積點'!$A$1:$O$20,17))</f>
        <v>7</v>
      </c>
      <c r="BA10" s="120">
        <f>IF(AV10="","",HLOOKUP(AY10,'積點'!$A$1:$O$20,18))</f>
        <v>7</v>
      </c>
      <c r="BB10" s="119">
        <f t="shared" si="16"/>
        <v>41</v>
      </c>
      <c r="BC10" s="140"/>
      <c r="BD10" s="121">
        <f t="shared" si="17"/>
        <v>10041100</v>
      </c>
      <c r="BE10" s="122">
        <f t="shared" si="18"/>
        <v>5</v>
      </c>
      <c r="BF10" s="135">
        <f>IF(BE10="","",HLOOKUP(BE10,'積點'!$A$1:$O$20,20))</f>
        <v>12</v>
      </c>
      <c r="BG10" s="119">
        <f t="shared" si="19"/>
        <v>1261</v>
      </c>
      <c r="BH10" s="271"/>
      <c r="BI10" s="122">
        <f t="shared" si="20"/>
        <v>11261100</v>
      </c>
      <c r="BJ10" s="122">
        <f t="shared" si="21"/>
        <v>5</v>
      </c>
      <c r="BK10" s="120">
        <f>IF(BJ10="","",HLOOKUP(BJ10,'積點'!$A$1:$O$20,19))</f>
        <v>20</v>
      </c>
      <c r="BL10" s="117">
        <f t="shared" si="22"/>
        <v>60</v>
      </c>
      <c r="BM10" s="118">
        <f t="shared" si="23"/>
        <v>4</v>
      </c>
      <c r="BN10" s="276"/>
      <c r="BO10" s="277"/>
      <c r="BP10" s="278"/>
      <c r="BQ10" s="118">
        <f t="shared" si="24"/>
        <v>160</v>
      </c>
      <c r="BR10" s="68">
        <f t="shared" si="25"/>
        <v>18</v>
      </c>
      <c r="BS10" s="264"/>
    </row>
    <row r="11" spans="1:71" ht="34.5" customHeight="1" thickBot="1">
      <c r="A11" s="260">
        <v>6</v>
      </c>
      <c r="B11" s="309" t="s">
        <v>315</v>
      </c>
      <c r="C11" s="310"/>
      <c r="D11" s="113">
        <f>'個人資格賽'!FI10</f>
        <v>2497</v>
      </c>
      <c r="E11" s="120">
        <v>25</v>
      </c>
      <c r="F11" s="119">
        <v>161</v>
      </c>
      <c r="G11" s="283"/>
      <c r="H11" s="121">
        <f t="shared" si="0"/>
        <v>161</v>
      </c>
      <c r="I11" s="122">
        <f t="shared" si="1"/>
        <v>2</v>
      </c>
      <c r="J11" s="122">
        <f>IF(F11="","",HLOOKUP(I11,'積點'!$A$1:$O$20,3))</f>
        <v>8</v>
      </c>
      <c r="K11" s="120">
        <f>IF(F11="","",HLOOKUP(I11,'積點'!$A$1:$O$20,4))</f>
        <v>8</v>
      </c>
      <c r="L11" s="119">
        <v>156</v>
      </c>
      <c r="M11" s="283"/>
      <c r="N11" s="121">
        <f t="shared" si="2"/>
        <v>156</v>
      </c>
      <c r="O11" s="122">
        <f t="shared" si="3"/>
        <v>5</v>
      </c>
      <c r="P11" s="122">
        <f>IF(L11="","",HLOOKUP(O11,'積點'!$A$1:$O$20,5))</f>
        <v>5</v>
      </c>
      <c r="Q11" s="120">
        <f>IF(L11="","",HLOOKUP(O11,'積點'!$A$1:$O$20,6))</f>
        <v>5</v>
      </c>
      <c r="R11" s="119">
        <v>155</v>
      </c>
      <c r="S11" s="283"/>
      <c r="T11" s="121">
        <f t="shared" si="4"/>
        <v>155</v>
      </c>
      <c r="U11" s="122">
        <f t="shared" si="5"/>
        <v>7</v>
      </c>
      <c r="V11" s="122">
        <f>IF(R11="","",HLOOKUP(U11,'積點'!$A$1:$O$20,7))</f>
        <v>3</v>
      </c>
      <c r="W11" s="120">
        <f>IF(R11="","",HLOOKUP(U11,'積點'!$A$1:$O$20,8))</f>
        <v>3</v>
      </c>
      <c r="X11" s="119">
        <v>153</v>
      </c>
      <c r="Y11" s="283"/>
      <c r="Z11" s="121">
        <f t="shared" si="6"/>
        <v>153</v>
      </c>
      <c r="AA11" s="122">
        <f t="shared" si="7"/>
        <v>4</v>
      </c>
      <c r="AB11" s="122">
        <f>IF(X11="","",HLOOKUP(AA11,'積點'!$A$1:$O$20,9))</f>
        <v>6</v>
      </c>
      <c r="AC11" s="120">
        <f>IF(X11="","",HLOOKUP(AA11,'積點'!$A$1:$O$20,10))</f>
        <v>6</v>
      </c>
      <c r="AD11" s="139">
        <v>155</v>
      </c>
      <c r="AE11" s="140"/>
      <c r="AF11" s="121">
        <f t="shared" si="8"/>
        <v>155</v>
      </c>
      <c r="AG11" s="122">
        <f t="shared" si="9"/>
        <v>6</v>
      </c>
      <c r="AH11" s="122">
        <f>IF(AD11="","",HLOOKUP(AG11,'積點'!$A$1:$O$20,11))</f>
        <v>4</v>
      </c>
      <c r="AI11" s="120">
        <f>IF(AD11="","",HLOOKUP(AG11,'積點'!$A$1:$O$20,12))</f>
        <v>4</v>
      </c>
      <c r="AJ11" s="139">
        <v>159</v>
      </c>
      <c r="AK11" s="140"/>
      <c r="AL11" s="121">
        <f t="shared" si="10"/>
        <v>159</v>
      </c>
      <c r="AM11" s="122">
        <f t="shared" si="11"/>
        <v>3</v>
      </c>
      <c r="AN11" s="122">
        <f>IF(AJ11="","",HLOOKUP(AM11,'積點'!$A$1:$O$20,13))</f>
        <v>7</v>
      </c>
      <c r="AO11" s="120">
        <f>IF(AJ11="","",HLOOKUP(AM11,'積點'!$A$1:$O$20,14))</f>
        <v>7</v>
      </c>
      <c r="AP11" s="139">
        <v>158</v>
      </c>
      <c r="AQ11" s="140">
        <v>6</v>
      </c>
      <c r="AR11" s="121">
        <f t="shared" si="12"/>
        <v>158.06</v>
      </c>
      <c r="AS11" s="122">
        <f t="shared" si="13"/>
        <v>8</v>
      </c>
      <c r="AT11" s="122" t="str">
        <f>IF(AP11="","",HLOOKUP(AS11,'積點'!$A$1:$O$20,15))</f>
        <v>淘汰</v>
      </c>
      <c r="AU11" s="120">
        <f>IF(AP11="","",HLOOKUP(AS11,'積點'!$A$1:$O$20,16))</f>
        <v>0</v>
      </c>
      <c r="AV11" s="139"/>
      <c r="AW11" s="140"/>
      <c r="AX11" s="121">
        <f t="shared" si="14"/>
        <v>0</v>
      </c>
      <c r="AY11" s="122">
        <f t="shared" si="15"/>
      </c>
      <c r="AZ11" s="122">
        <f>IF(AV11="","",HLOOKUP(AY11,'積點'!$A$1:$O$20,17))</f>
      </c>
      <c r="BA11" s="120">
        <f>IF(AV11="","",HLOOKUP(AY11,'積點'!$A$1:$O$20,18))</f>
      </c>
      <c r="BB11" s="119">
        <f t="shared" si="16"/>
        <v>33</v>
      </c>
      <c r="BC11" s="140">
        <v>810</v>
      </c>
      <c r="BD11" s="121">
        <f t="shared" si="17"/>
        <v>10033910</v>
      </c>
      <c r="BE11" s="122">
        <f t="shared" si="18"/>
        <v>6</v>
      </c>
      <c r="BF11" s="135">
        <f>IF(BE11="","",HLOOKUP(BE11,'積點'!$A$1:$O$20,20))</f>
        <v>9</v>
      </c>
      <c r="BG11" s="119">
        <f t="shared" si="19"/>
        <v>1097</v>
      </c>
      <c r="BH11" s="271"/>
      <c r="BI11" s="122">
        <f t="shared" si="20"/>
        <v>11097100</v>
      </c>
      <c r="BJ11" s="122">
        <f t="shared" si="21"/>
        <v>8</v>
      </c>
      <c r="BK11" s="120">
        <f>IF(BJ11="","",HLOOKUP(BJ11,'積點'!$A$1:$O$20,19))</f>
        <v>8</v>
      </c>
      <c r="BL11" s="117">
        <f t="shared" si="22"/>
        <v>42</v>
      </c>
      <c r="BM11" s="118">
        <f t="shared" si="23"/>
        <v>6</v>
      </c>
      <c r="BN11" s="276"/>
      <c r="BO11" s="277"/>
      <c r="BP11" s="278"/>
      <c r="BQ11" s="118">
        <f t="shared" si="24"/>
        <v>142</v>
      </c>
      <c r="BR11" s="68">
        <f t="shared" si="25"/>
        <v>12.6</v>
      </c>
      <c r="BS11" s="264"/>
    </row>
    <row r="12" spans="1:71" ht="34.5" customHeight="1" thickBot="1">
      <c r="A12" s="259">
        <v>7</v>
      </c>
      <c r="B12" s="309" t="s">
        <v>316</v>
      </c>
      <c r="C12" s="310"/>
      <c r="D12" s="113">
        <f>'個人資格賽'!FI11</f>
        <v>2493</v>
      </c>
      <c r="E12" s="120">
        <v>22</v>
      </c>
      <c r="F12" s="119">
        <v>152</v>
      </c>
      <c r="G12" s="283"/>
      <c r="H12" s="121">
        <f t="shared" si="0"/>
        <v>152</v>
      </c>
      <c r="I12" s="122">
        <f t="shared" si="1"/>
        <v>9</v>
      </c>
      <c r="J12" s="122">
        <f>IF(F12="","",HLOOKUP(I12,'積點'!$A$1:$O$20,3))</f>
        <v>1</v>
      </c>
      <c r="K12" s="120">
        <f>IF(F12="","",HLOOKUP(I12,'積點'!$A$1:$O$20,4))</f>
        <v>1</v>
      </c>
      <c r="L12" s="119">
        <v>151</v>
      </c>
      <c r="M12" s="283"/>
      <c r="N12" s="121">
        <f t="shared" si="2"/>
        <v>151</v>
      </c>
      <c r="O12" s="122">
        <f t="shared" si="3"/>
        <v>10</v>
      </c>
      <c r="P12" s="122">
        <f>IF(L12="","",HLOOKUP(O12,'積點'!$A$1:$O$20,5))</f>
        <v>0</v>
      </c>
      <c r="Q12" s="120">
        <f>IF(L12="","",HLOOKUP(O12,'積點'!$A$1:$O$20,6))</f>
        <v>0</v>
      </c>
      <c r="R12" s="119">
        <v>151</v>
      </c>
      <c r="S12" s="283"/>
      <c r="T12" s="121">
        <f t="shared" si="4"/>
        <v>151</v>
      </c>
      <c r="U12" s="122">
        <f t="shared" si="5"/>
        <v>10</v>
      </c>
      <c r="V12" s="122">
        <f>IF(R12="","",HLOOKUP(U12,'積點'!$A$1:$O$20,7))</f>
        <v>0</v>
      </c>
      <c r="W12" s="120">
        <f>IF(R12="","",HLOOKUP(U12,'積點'!$A$1:$O$20,8))</f>
        <v>0</v>
      </c>
      <c r="X12" s="119">
        <v>149</v>
      </c>
      <c r="Y12" s="283"/>
      <c r="Z12" s="121">
        <f t="shared" si="6"/>
        <v>149</v>
      </c>
      <c r="AA12" s="122">
        <f t="shared" si="7"/>
        <v>6</v>
      </c>
      <c r="AB12" s="122">
        <f>IF(X12="","",HLOOKUP(AA12,'積點'!$A$1:$O$20,9))</f>
        <v>4</v>
      </c>
      <c r="AC12" s="120">
        <f>IF(X12="","",HLOOKUP(AA12,'積點'!$A$1:$O$20,10))</f>
        <v>4</v>
      </c>
      <c r="AD12" s="139">
        <v>155</v>
      </c>
      <c r="AE12" s="140"/>
      <c r="AF12" s="121">
        <f t="shared" si="8"/>
        <v>155</v>
      </c>
      <c r="AG12" s="122">
        <f t="shared" si="9"/>
        <v>6</v>
      </c>
      <c r="AH12" s="122">
        <f>IF(AD12="","",HLOOKUP(AG12,'積點'!$A$1:$O$20,11))</f>
        <v>4</v>
      </c>
      <c r="AI12" s="120">
        <f>IF(AD12="","",HLOOKUP(AG12,'積點'!$A$1:$O$20,12))</f>
        <v>4</v>
      </c>
      <c r="AJ12" s="139">
        <v>146</v>
      </c>
      <c r="AK12" s="140"/>
      <c r="AL12" s="121">
        <f t="shared" si="10"/>
        <v>146</v>
      </c>
      <c r="AM12" s="122">
        <f t="shared" si="11"/>
        <v>9</v>
      </c>
      <c r="AN12" s="122" t="str">
        <f>IF(AJ12="","",HLOOKUP(AM12,'積點'!$A$1:$O$20,13))</f>
        <v>淘汰</v>
      </c>
      <c r="AO12" s="120">
        <f>IF(AJ12="","",HLOOKUP(AM12,'積點'!$A$1:$O$20,14))</f>
        <v>0</v>
      </c>
      <c r="AP12" s="139"/>
      <c r="AQ12" s="140"/>
      <c r="AR12" s="121">
        <f t="shared" si="12"/>
        <v>0</v>
      </c>
      <c r="AS12" s="122">
        <f t="shared" si="13"/>
      </c>
      <c r="AT12" s="122">
        <f>IF(AP12="","",HLOOKUP(AS12,'積點'!$A$1:$O$20,15))</f>
      </c>
      <c r="AU12" s="120">
        <f>IF(AP12="","",HLOOKUP(AS12,'積點'!$A$1:$O$20,16))</f>
      </c>
      <c r="AV12" s="139"/>
      <c r="AW12" s="140"/>
      <c r="AX12" s="121">
        <f t="shared" si="14"/>
        <v>0</v>
      </c>
      <c r="AY12" s="122">
        <f t="shared" si="15"/>
      </c>
      <c r="AZ12" s="122">
        <f>IF(AV12="","",HLOOKUP(AY12,'積點'!$A$1:$O$20,17))</f>
      </c>
      <c r="BA12" s="120">
        <f>IF(AV12="","",HLOOKUP(AY12,'積點'!$A$1:$O$20,18))</f>
      </c>
      <c r="BB12" s="119">
        <f t="shared" si="16"/>
        <v>9</v>
      </c>
      <c r="BC12" s="140"/>
      <c r="BD12" s="121">
        <f t="shared" si="17"/>
        <v>10009100</v>
      </c>
      <c r="BE12" s="122">
        <f t="shared" si="18"/>
        <v>11</v>
      </c>
      <c r="BF12" s="135">
        <f>IF(BE12="","",HLOOKUP(BE12,'積點'!$A$1:$O$20,20))</f>
        <v>0</v>
      </c>
      <c r="BG12" s="119">
        <f t="shared" si="19"/>
        <v>904</v>
      </c>
      <c r="BH12" s="271"/>
      <c r="BI12" s="122">
        <f t="shared" si="20"/>
        <v>10904100</v>
      </c>
      <c r="BJ12" s="122">
        <f t="shared" si="21"/>
        <v>9</v>
      </c>
      <c r="BK12" s="120">
        <f>IF(BJ12="","",HLOOKUP(BJ12,'積點'!$A$1:$O$20,19))</f>
        <v>4</v>
      </c>
      <c r="BL12" s="117">
        <f t="shared" si="22"/>
        <v>26</v>
      </c>
      <c r="BM12" s="118">
        <f t="shared" si="23"/>
        <v>9</v>
      </c>
      <c r="BN12" s="276"/>
      <c r="BO12" s="277"/>
      <c r="BP12" s="278"/>
      <c r="BQ12" s="118">
        <f t="shared" si="24"/>
        <v>126</v>
      </c>
      <c r="BR12" s="68">
        <f t="shared" si="25"/>
        <v>7.8</v>
      </c>
      <c r="BS12" s="264"/>
    </row>
    <row r="13" spans="1:71" ht="34.5" customHeight="1" thickBot="1">
      <c r="A13" s="260">
        <v>8</v>
      </c>
      <c r="B13" s="309" t="s">
        <v>317</v>
      </c>
      <c r="C13" s="310"/>
      <c r="D13" s="113">
        <f>'個人資格賽'!FI12</f>
        <v>2492</v>
      </c>
      <c r="E13" s="120">
        <v>19</v>
      </c>
      <c r="F13" s="119">
        <v>149</v>
      </c>
      <c r="G13" s="283">
        <v>10</v>
      </c>
      <c r="H13" s="121">
        <f t="shared" si="0"/>
        <v>149.1</v>
      </c>
      <c r="I13" s="122">
        <f t="shared" si="1"/>
        <v>13</v>
      </c>
      <c r="J13" s="122">
        <f>IF(F13="","",HLOOKUP(I13,'積點'!$A$1:$O$20,3))</f>
        <v>0</v>
      </c>
      <c r="K13" s="120">
        <f>IF(F13="","",HLOOKUP(I13,'積點'!$A$1:$O$20,4))</f>
        <v>0</v>
      </c>
      <c r="L13" s="119">
        <v>153</v>
      </c>
      <c r="M13" s="283"/>
      <c r="N13" s="121">
        <f t="shared" si="2"/>
        <v>153</v>
      </c>
      <c r="O13" s="122">
        <f t="shared" si="3"/>
        <v>8</v>
      </c>
      <c r="P13" s="122">
        <f>IF(L13="","",HLOOKUP(O13,'積點'!$A$1:$O$20,5))</f>
        <v>2</v>
      </c>
      <c r="Q13" s="120">
        <f>IF(L13="","",HLOOKUP(O13,'積點'!$A$1:$O$20,6))</f>
        <v>2</v>
      </c>
      <c r="R13" s="119">
        <v>155</v>
      </c>
      <c r="S13" s="283"/>
      <c r="T13" s="121">
        <f t="shared" si="4"/>
        <v>155</v>
      </c>
      <c r="U13" s="122">
        <f t="shared" si="5"/>
        <v>7</v>
      </c>
      <c r="V13" s="122">
        <f>IF(R13="","",HLOOKUP(U13,'積點'!$A$1:$O$20,7))</f>
        <v>3</v>
      </c>
      <c r="W13" s="120">
        <f>IF(R13="","",HLOOKUP(U13,'積點'!$A$1:$O$20,8))</f>
        <v>3</v>
      </c>
      <c r="X13" s="119">
        <v>151</v>
      </c>
      <c r="Y13" s="283"/>
      <c r="Z13" s="121">
        <f t="shared" si="6"/>
        <v>151</v>
      </c>
      <c r="AA13" s="122">
        <f t="shared" si="7"/>
        <v>5</v>
      </c>
      <c r="AB13" s="122">
        <f>IF(X13="","",HLOOKUP(AA13,'積點'!$A$1:$O$20,9))</f>
        <v>5</v>
      </c>
      <c r="AC13" s="120">
        <f>IF(X13="","",HLOOKUP(AA13,'積點'!$A$1:$O$20,10))</f>
        <v>5</v>
      </c>
      <c r="AD13" s="139">
        <v>156</v>
      </c>
      <c r="AE13" s="140"/>
      <c r="AF13" s="121">
        <f t="shared" si="8"/>
        <v>156</v>
      </c>
      <c r="AG13" s="122">
        <f t="shared" si="9"/>
        <v>4</v>
      </c>
      <c r="AH13" s="122">
        <f>IF(AD13="","",HLOOKUP(AG13,'積點'!$A$1:$O$20,11))</f>
        <v>6</v>
      </c>
      <c r="AI13" s="120">
        <f>IF(AD13="","",HLOOKUP(AG13,'積點'!$A$1:$O$20,12))</f>
        <v>6</v>
      </c>
      <c r="AJ13" s="139">
        <v>158</v>
      </c>
      <c r="AK13" s="140"/>
      <c r="AL13" s="121">
        <f t="shared" si="10"/>
        <v>158</v>
      </c>
      <c r="AM13" s="122">
        <f t="shared" si="11"/>
        <v>6</v>
      </c>
      <c r="AN13" s="122">
        <f>IF(AJ13="","",HLOOKUP(AM13,'積點'!$A$1:$O$20,13))</f>
        <v>4</v>
      </c>
      <c r="AO13" s="120">
        <f>IF(AJ13="","",HLOOKUP(AM13,'積點'!$A$1:$O$20,14))</f>
        <v>4</v>
      </c>
      <c r="AP13" s="139">
        <v>163</v>
      </c>
      <c r="AQ13" s="140"/>
      <c r="AR13" s="121">
        <f t="shared" si="12"/>
        <v>163</v>
      </c>
      <c r="AS13" s="122">
        <f t="shared" si="13"/>
        <v>2</v>
      </c>
      <c r="AT13" s="122">
        <f>IF(AP13="","",HLOOKUP(AS13,'積點'!$A$1:$O$20,15))</f>
        <v>8</v>
      </c>
      <c r="AU13" s="120">
        <f>IF(AP13="","",HLOOKUP(AS13,'積點'!$A$1:$O$20,16))</f>
        <v>8</v>
      </c>
      <c r="AV13" s="139">
        <v>159</v>
      </c>
      <c r="AW13" s="140"/>
      <c r="AX13" s="121">
        <f t="shared" si="14"/>
        <v>159</v>
      </c>
      <c r="AY13" s="122">
        <f t="shared" si="15"/>
        <v>5</v>
      </c>
      <c r="AZ13" s="122">
        <f>IF(AV13="","",HLOOKUP(AY13,'積點'!$A$1:$O$20,17))</f>
        <v>5</v>
      </c>
      <c r="BA13" s="120">
        <f>IF(AV13="","",HLOOKUP(AY13,'積點'!$A$1:$O$20,18))</f>
        <v>5</v>
      </c>
      <c r="BB13" s="119">
        <f t="shared" si="16"/>
        <v>33</v>
      </c>
      <c r="BC13" s="140">
        <v>809</v>
      </c>
      <c r="BD13" s="121">
        <f t="shared" si="17"/>
        <v>10033909</v>
      </c>
      <c r="BE13" s="122">
        <f t="shared" si="18"/>
        <v>7</v>
      </c>
      <c r="BF13" s="135">
        <f>IF(BE13="","",HLOOKUP(BE13,'積點'!$A$1:$O$20,20))</f>
        <v>6</v>
      </c>
      <c r="BG13" s="119">
        <f t="shared" si="19"/>
        <v>1244</v>
      </c>
      <c r="BH13" s="271"/>
      <c r="BI13" s="122">
        <f t="shared" si="20"/>
        <v>11244100</v>
      </c>
      <c r="BJ13" s="122">
        <f t="shared" si="21"/>
        <v>6</v>
      </c>
      <c r="BK13" s="120">
        <f>IF(BJ13="","",HLOOKUP(BJ13,'積點'!$A$1:$O$20,19))</f>
        <v>16</v>
      </c>
      <c r="BL13" s="117">
        <f t="shared" si="22"/>
        <v>41</v>
      </c>
      <c r="BM13" s="118">
        <f t="shared" si="23"/>
        <v>7</v>
      </c>
      <c r="BN13" s="276"/>
      <c r="BO13" s="277"/>
      <c r="BP13" s="278"/>
      <c r="BQ13" s="118">
        <f t="shared" si="24"/>
        <v>141</v>
      </c>
      <c r="BR13" s="68">
        <f t="shared" si="25"/>
        <v>12.299999999999999</v>
      </c>
      <c r="BS13" s="264"/>
    </row>
    <row r="14" spans="1:71" ht="34.5" customHeight="1" thickBot="1">
      <c r="A14" s="259">
        <v>9</v>
      </c>
      <c r="B14" s="309" t="s">
        <v>318</v>
      </c>
      <c r="C14" s="310"/>
      <c r="D14" s="113">
        <f>'個人資格賽'!FI13</f>
        <v>2489</v>
      </c>
      <c r="E14" s="120">
        <v>16</v>
      </c>
      <c r="F14" s="119">
        <v>154</v>
      </c>
      <c r="G14" s="283"/>
      <c r="H14" s="121">
        <f t="shared" si="0"/>
        <v>154</v>
      </c>
      <c r="I14" s="122">
        <f t="shared" si="1"/>
        <v>8</v>
      </c>
      <c r="J14" s="122">
        <f>IF(F14="","",HLOOKUP(I14,'積點'!$A$1:$O$20,3))</f>
        <v>2</v>
      </c>
      <c r="K14" s="120">
        <f>IF(F14="","",HLOOKUP(I14,'積點'!$A$1:$O$20,4))</f>
        <v>2</v>
      </c>
      <c r="L14" s="119">
        <v>159</v>
      </c>
      <c r="M14" s="283"/>
      <c r="N14" s="121">
        <f t="shared" si="2"/>
        <v>159</v>
      </c>
      <c r="O14" s="122">
        <f t="shared" si="3"/>
        <v>3</v>
      </c>
      <c r="P14" s="122">
        <f>IF(L14="","",HLOOKUP(O14,'積點'!$A$1:$O$20,5))</f>
        <v>7</v>
      </c>
      <c r="Q14" s="120">
        <f>IF(L14="","",HLOOKUP(O14,'積點'!$A$1:$O$20,6))</f>
        <v>7</v>
      </c>
      <c r="R14" s="119">
        <v>152</v>
      </c>
      <c r="S14" s="283"/>
      <c r="T14" s="121">
        <f t="shared" si="4"/>
        <v>152</v>
      </c>
      <c r="U14" s="122">
        <f t="shared" si="5"/>
        <v>9</v>
      </c>
      <c r="V14" s="122">
        <f>IF(R14="","",HLOOKUP(U14,'積點'!$A$1:$O$20,7))</f>
        <v>1</v>
      </c>
      <c r="W14" s="120">
        <f>IF(R14="","",HLOOKUP(U14,'積點'!$A$1:$O$20,8))</f>
        <v>1</v>
      </c>
      <c r="X14" s="119">
        <v>146</v>
      </c>
      <c r="Y14" s="283"/>
      <c r="Z14" s="121">
        <f t="shared" si="6"/>
        <v>146</v>
      </c>
      <c r="AA14" s="122"/>
      <c r="AB14" s="122">
        <f>IF(X14="","",HLOOKUP(AA14,'積點'!$A$1:$O$20,9))</f>
        <v>0</v>
      </c>
      <c r="AC14" s="120">
        <f>IF(X14="","",HLOOKUP(AA14,'積點'!$A$1:$O$20,10))</f>
        <v>0</v>
      </c>
      <c r="AD14" s="139">
        <v>143</v>
      </c>
      <c r="AE14" s="140"/>
      <c r="AF14" s="121">
        <f t="shared" si="8"/>
        <v>143</v>
      </c>
      <c r="AG14" s="122">
        <f t="shared" si="9"/>
        <v>10</v>
      </c>
      <c r="AH14" s="122" t="str">
        <f>IF(AD14="","",HLOOKUP(AG14,'積點'!$A$1:$O$20,11))</f>
        <v>淘汰</v>
      </c>
      <c r="AI14" s="120">
        <f>IF(AD14="","",HLOOKUP(AG14,'積點'!$A$1:$O$20,12))</f>
        <v>0</v>
      </c>
      <c r="AJ14" s="139"/>
      <c r="AK14" s="140"/>
      <c r="AL14" s="121">
        <f t="shared" si="10"/>
        <v>0</v>
      </c>
      <c r="AM14" s="122">
        <f t="shared" si="11"/>
      </c>
      <c r="AN14" s="122">
        <f>IF(AJ14="","",HLOOKUP(AM14,'積點'!$A$1:$O$20,13))</f>
      </c>
      <c r="AO14" s="120">
        <f>IF(AJ14="","",HLOOKUP(AM14,'積點'!$A$1:$O$20,14))</f>
      </c>
      <c r="AP14" s="139"/>
      <c r="AQ14" s="140"/>
      <c r="AR14" s="121">
        <f t="shared" si="12"/>
        <v>0</v>
      </c>
      <c r="AS14" s="122">
        <f t="shared" si="13"/>
      </c>
      <c r="AT14" s="122">
        <f>IF(AP14="","",HLOOKUP(AS14,'積點'!$A$1:$O$20,15))</f>
      </c>
      <c r="AU14" s="120">
        <f>IF(AP14="","",HLOOKUP(AS14,'積點'!$A$1:$O$20,16))</f>
      </c>
      <c r="AV14" s="139"/>
      <c r="AW14" s="140"/>
      <c r="AX14" s="121">
        <f t="shared" si="14"/>
        <v>0</v>
      </c>
      <c r="AY14" s="122">
        <f t="shared" si="15"/>
      </c>
      <c r="AZ14" s="122">
        <f>IF(AV14="","",HLOOKUP(AY14,'積點'!$A$1:$O$20,17))</f>
      </c>
      <c r="BA14" s="120">
        <f>IF(AV14="","",HLOOKUP(AY14,'積點'!$A$1:$O$20,18))</f>
      </c>
      <c r="BB14" s="119">
        <f t="shared" si="16"/>
        <v>10</v>
      </c>
      <c r="BC14" s="140"/>
      <c r="BD14" s="121">
        <f t="shared" si="17"/>
        <v>10010100</v>
      </c>
      <c r="BE14" s="122">
        <f t="shared" si="18"/>
        <v>10</v>
      </c>
      <c r="BF14" s="135">
        <f>IF(BE14="","",HLOOKUP(BE14,'積點'!$A$1:$O$20,20))</f>
        <v>0</v>
      </c>
      <c r="BG14" s="119">
        <f t="shared" si="19"/>
        <v>754</v>
      </c>
      <c r="BH14" s="271"/>
      <c r="BI14" s="122">
        <f t="shared" si="20"/>
        <v>10754100</v>
      </c>
      <c r="BJ14" s="122">
        <f t="shared" si="21"/>
        <v>10</v>
      </c>
      <c r="BK14" s="120">
        <f>IF(BJ14="","",HLOOKUP(BJ14,'積點'!$A$1:$O$20,19))</f>
        <v>0</v>
      </c>
      <c r="BL14" s="117">
        <f t="shared" si="22"/>
        <v>16</v>
      </c>
      <c r="BM14" s="118">
        <f t="shared" si="23"/>
        <v>11</v>
      </c>
      <c r="BN14" s="276"/>
      <c r="BO14" s="277"/>
      <c r="BP14" s="278"/>
      <c r="BQ14" s="118">
        <f t="shared" si="24"/>
        <v>116</v>
      </c>
      <c r="BR14" s="68">
        <f t="shared" si="25"/>
        <v>4.8</v>
      </c>
      <c r="BS14" s="264"/>
    </row>
    <row r="15" spans="1:71" ht="34.5" customHeight="1" thickBot="1">
      <c r="A15" s="260">
        <v>10</v>
      </c>
      <c r="B15" s="309" t="s">
        <v>319</v>
      </c>
      <c r="C15" s="310"/>
      <c r="D15" s="113">
        <f>'個人資格賽'!FI14</f>
        <v>2486</v>
      </c>
      <c r="E15" s="120">
        <v>13</v>
      </c>
      <c r="F15" s="119">
        <v>149</v>
      </c>
      <c r="G15" s="283">
        <v>8</v>
      </c>
      <c r="H15" s="121">
        <f t="shared" si="0"/>
        <v>149.08</v>
      </c>
      <c r="I15" s="122">
        <f t="shared" si="1"/>
        <v>14</v>
      </c>
      <c r="J15" s="122" t="str">
        <f>IF(F15="","",HLOOKUP(I15,'積點'!$A$1:$O$20,3))</f>
        <v>淘汰</v>
      </c>
      <c r="K15" s="120">
        <f>IF(F15="","",HLOOKUP(I15,'積點'!$A$1:$O$20,4))</f>
        <v>0</v>
      </c>
      <c r="L15" s="119"/>
      <c r="M15" s="283"/>
      <c r="N15" s="121">
        <f t="shared" si="2"/>
        <v>0</v>
      </c>
      <c r="O15" s="122">
        <f t="shared" si="3"/>
      </c>
      <c r="P15" s="122">
        <f>IF(L15="","",HLOOKUP(O15,'積點'!$A$1:$O$20,5))</f>
      </c>
      <c r="Q15" s="120">
        <f>IF(L15="","",HLOOKUP(O15,'積點'!$A$1:$O$20,6))</f>
      </c>
      <c r="R15" s="119"/>
      <c r="S15" s="283"/>
      <c r="T15" s="121">
        <f t="shared" si="4"/>
        <v>0</v>
      </c>
      <c r="U15" s="122">
        <f t="shared" si="5"/>
      </c>
      <c r="V15" s="122">
        <f>IF(R15="","",HLOOKUP(U15,'積點'!$A$1:$O$20,7))</f>
      </c>
      <c r="W15" s="120">
        <f>IF(R15="","",HLOOKUP(U15,'積點'!$A$1:$O$20,8))</f>
      </c>
      <c r="X15" s="119"/>
      <c r="Y15" s="283"/>
      <c r="Z15" s="121">
        <f t="shared" si="6"/>
        <v>0</v>
      </c>
      <c r="AA15" s="122">
        <f>IF(X15="","",RANK(Z15,$Z$6:$Z$19))</f>
      </c>
      <c r="AB15" s="122">
        <f>IF(X15="","",HLOOKUP(AA15,'積點'!$A$1:$O$20,9))</f>
      </c>
      <c r="AC15" s="120">
        <f>IF(X15="","",HLOOKUP(AA15,'積點'!$A$1:$O$20,10))</f>
      </c>
      <c r="AD15" s="139"/>
      <c r="AE15" s="140"/>
      <c r="AF15" s="121">
        <f t="shared" si="8"/>
        <v>0</v>
      </c>
      <c r="AG15" s="122">
        <f t="shared" si="9"/>
      </c>
      <c r="AH15" s="122">
        <f>IF(AD15="","",HLOOKUP(AG15,'積點'!$A$1:$O$20,11))</f>
      </c>
      <c r="AI15" s="120">
        <f>IF(AD15="","",HLOOKUP(AG15,'積點'!$A$1:$O$20,12))</f>
      </c>
      <c r="AJ15" s="139"/>
      <c r="AK15" s="140"/>
      <c r="AL15" s="121">
        <f t="shared" si="10"/>
        <v>0</v>
      </c>
      <c r="AM15" s="122">
        <f t="shared" si="11"/>
      </c>
      <c r="AN15" s="122">
        <f>IF(AJ15="","",HLOOKUP(AM15,'積點'!$A$1:$O$20,13))</f>
      </c>
      <c r="AO15" s="120">
        <f>IF(AJ15="","",HLOOKUP(AM15,'積點'!$A$1:$O$20,14))</f>
      </c>
      <c r="AP15" s="139"/>
      <c r="AQ15" s="140"/>
      <c r="AR15" s="121">
        <f t="shared" si="12"/>
        <v>0</v>
      </c>
      <c r="AS15" s="122">
        <f t="shared" si="13"/>
      </c>
      <c r="AT15" s="122">
        <f>IF(AP15="","",HLOOKUP(AS15,'積點'!$A$1:$O$20,15))</f>
      </c>
      <c r="AU15" s="120">
        <f>IF(AP15="","",HLOOKUP(AS15,'積點'!$A$1:$O$20,16))</f>
      </c>
      <c r="AV15" s="139"/>
      <c r="AW15" s="140"/>
      <c r="AX15" s="121">
        <f t="shared" si="14"/>
        <v>0</v>
      </c>
      <c r="AY15" s="122">
        <f t="shared" si="15"/>
      </c>
      <c r="AZ15" s="122">
        <f>IF(AV15="","",HLOOKUP(AY15,'積點'!$A$1:$O$20,17))</f>
      </c>
      <c r="BA15" s="120">
        <f>IF(AV15="","",HLOOKUP(AY15,'積點'!$A$1:$O$20,18))</f>
      </c>
      <c r="BB15" s="119">
        <f t="shared" si="16"/>
        <v>0</v>
      </c>
      <c r="BC15" s="140"/>
      <c r="BD15" s="121">
        <f t="shared" si="17"/>
        <v>10000100</v>
      </c>
      <c r="BE15" s="122">
        <f t="shared" si="18"/>
        <v>13</v>
      </c>
      <c r="BF15" s="135">
        <f>IF(BE15="","",HLOOKUP(BE15,'積點'!$A$1:$O$20,20))</f>
        <v>0</v>
      </c>
      <c r="BG15" s="119">
        <f t="shared" si="19"/>
        <v>149</v>
      </c>
      <c r="BH15" s="271"/>
      <c r="BI15" s="122">
        <f t="shared" si="20"/>
        <v>10149100</v>
      </c>
      <c r="BJ15" s="122">
        <f t="shared" si="21"/>
        <v>14</v>
      </c>
      <c r="BK15" s="120">
        <f>IF(BJ15="","",HLOOKUP(BJ15,'積點'!$A$1:$O$20,19))</f>
        <v>0</v>
      </c>
      <c r="BL15" s="117">
        <f t="shared" si="22"/>
        <v>13</v>
      </c>
      <c r="BM15" s="118">
        <f t="shared" si="23"/>
        <v>12</v>
      </c>
      <c r="BN15" s="276"/>
      <c r="BO15" s="277"/>
      <c r="BP15" s="278"/>
      <c r="BQ15" s="118">
        <f t="shared" si="24"/>
        <v>113</v>
      </c>
      <c r="BR15" s="68">
        <f t="shared" si="25"/>
        <v>3.9</v>
      </c>
      <c r="BS15" s="264"/>
    </row>
    <row r="16" spans="1:71" ht="34.5" customHeight="1" thickBot="1">
      <c r="A16" s="259">
        <v>11</v>
      </c>
      <c r="B16" s="309" t="s">
        <v>320</v>
      </c>
      <c r="C16" s="310"/>
      <c r="D16" s="113">
        <f>'個人資格賽'!FI15</f>
        <v>2486</v>
      </c>
      <c r="E16" s="120">
        <v>10</v>
      </c>
      <c r="F16" s="119">
        <v>151</v>
      </c>
      <c r="G16" s="283"/>
      <c r="H16" s="121">
        <f t="shared" si="0"/>
        <v>151</v>
      </c>
      <c r="I16" s="122">
        <f t="shared" si="1"/>
        <v>10</v>
      </c>
      <c r="J16" s="122">
        <f>IF(F16="","",HLOOKUP(I16,'積點'!$A$1:$O$20,3))</f>
        <v>0</v>
      </c>
      <c r="K16" s="120">
        <f>IF(F16="","",HLOOKUP(I16,'積點'!$A$1:$O$20,4))</f>
        <v>0</v>
      </c>
      <c r="L16" s="119">
        <v>153</v>
      </c>
      <c r="M16" s="283"/>
      <c r="N16" s="121">
        <f t="shared" si="2"/>
        <v>153</v>
      </c>
      <c r="O16" s="122">
        <f t="shared" si="3"/>
        <v>8</v>
      </c>
      <c r="P16" s="122">
        <f>IF(L16="","",HLOOKUP(O16,'積點'!$A$1:$O$20,5))</f>
        <v>2</v>
      </c>
      <c r="Q16" s="120">
        <f>IF(L16="","",HLOOKUP(O16,'積點'!$A$1:$O$20,6))</f>
        <v>2</v>
      </c>
      <c r="R16" s="119">
        <v>161</v>
      </c>
      <c r="S16" s="283"/>
      <c r="T16" s="121">
        <f t="shared" si="4"/>
        <v>161</v>
      </c>
      <c r="U16" s="122">
        <f t="shared" si="5"/>
        <v>4</v>
      </c>
      <c r="V16" s="122">
        <f>IF(R16="","",HLOOKUP(U16,'積點'!$A$1:$O$20,7))</f>
        <v>6</v>
      </c>
      <c r="W16" s="120">
        <f>IF(R16="","",HLOOKUP(U16,'積點'!$A$1:$O$20,8))</f>
        <v>6</v>
      </c>
      <c r="X16" s="119">
        <v>144</v>
      </c>
      <c r="Y16" s="283"/>
      <c r="Z16" s="121">
        <f t="shared" si="6"/>
        <v>144</v>
      </c>
      <c r="AA16" s="122">
        <f>IF(X16="","",RANK(Z16,$Z$6:$Z$19))</f>
        <v>11</v>
      </c>
      <c r="AB16" s="122" t="str">
        <f>IF(X16="","",HLOOKUP(AA16,'積點'!$A$1:$O$20,9))</f>
        <v>淘汰</v>
      </c>
      <c r="AC16" s="120">
        <f>IF(X16="","",HLOOKUP(AA16,'積點'!$A$1:$O$20,10))</f>
        <v>0</v>
      </c>
      <c r="AD16" s="139"/>
      <c r="AE16" s="140"/>
      <c r="AF16" s="121">
        <f t="shared" si="8"/>
        <v>0</v>
      </c>
      <c r="AG16" s="122">
        <f t="shared" si="9"/>
      </c>
      <c r="AH16" s="122">
        <f>IF(AD16="","",HLOOKUP(AG16,'積點'!$A$1:$O$20,11))</f>
      </c>
      <c r="AI16" s="120">
        <f>IF(AD16="","",HLOOKUP(AG16,'積點'!$A$1:$O$20,12))</f>
      </c>
      <c r="AJ16" s="139"/>
      <c r="AK16" s="140"/>
      <c r="AL16" s="121">
        <f t="shared" si="10"/>
        <v>0</v>
      </c>
      <c r="AM16" s="122">
        <f t="shared" si="11"/>
      </c>
      <c r="AN16" s="122">
        <f>IF(AJ16="","",HLOOKUP(AM16,'積點'!$A$1:$O$20,13))</f>
      </c>
      <c r="AO16" s="120">
        <f>IF(AJ16="","",HLOOKUP(AM16,'積點'!$A$1:$O$20,14))</f>
      </c>
      <c r="AP16" s="139"/>
      <c r="AQ16" s="140"/>
      <c r="AR16" s="121">
        <f t="shared" si="12"/>
        <v>0</v>
      </c>
      <c r="AS16" s="122">
        <f t="shared" si="13"/>
      </c>
      <c r="AT16" s="122">
        <f>IF(AP16="","",HLOOKUP(AS16,'積點'!$A$1:$O$20,15))</f>
      </c>
      <c r="AU16" s="120">
        <f>IF(AP16="","",HLOOKUP(AS16,'積點'!$A$1:$O$20,16))</f>
      </c>
      <c r="AV16" s="139"/>
      <c r="AW16" s="140"/>
      <c r="AX16" s="121">
        <f t="shared" si="14"/>
        <v>0</v>
      </c>
      <c r="AY16" s="122">
        <f t="shared" si="15"/>
      </c>
      <c r="AZ16" s="122">
        <f>IF(AV16="","",HLOOKUP(AY16,'積點'!$A$1:$O$20,17))</f>
      </c>
      <c r="BA16" s="120">
        <f>IF(AV16="","",HLOOKUP(AY16,'積點'!$A$1:$O$20,18))</f>
      </c>
      <c r="BB16" s="119">
        <f t="shared" si="16"/>
        <v>8</v>
      </c>
      <c r="BC16" s="140"/>
      <c r="BD16" s="121">
        <f t="shared" si="17"/>
        <v>10008100</v>
      </c>
      <c r="BE16" s="122">
        <f t="shared" si="18"/>
        <v>12</v>
      </c>
      <c r="BF16" s="135">
        <f>IF(BE16="","",HLOOKUP(BE16,'積點'!$A$1:$O$20,20))</f>
        <v>0</v>
      </c>
      <c r="BG16" s="119">
        <f t="shared" si="19"/>
        <v>609</v>
      </c>
      <c r="BH16" s="271"/>
      <c r="BI16" s="122">
        <f t="shared" si="20"/>
        <v>10609100</v>
      </c>
      <c r="BJ16" s="122">
        <f t="shared" si="21"/>
        <v>11</v>
      </c>
      <c r="BK16" s="120">
        <f>IF(BJ16="","",HLOOKUP(BJ16,'積點'!$A$1:$O$20,19))</f>
        <v>0</v>
      </c>
      <c r="BL16" s="117">
        <f t="shared" si="22"/>
        <v>10</v>
      </c>
      <c r="BM16" s="118">
        <f t="shared" si="23"/>
        <v>13</v>
      </c>
      <c r="BN16" s="276"/>
      <c r="BO16" s="277"/>
      <c r="BP16" s="278"/>
      <c r="BQ16" s="118">
        <f t="shared" si="24"/>
        <v>110</v>
      </c>
      <c r="BR16" s="68">
        <f t="shared" si="25"/>
        <v>3</v>
      </c>
      <c r="BS16" s="264"/>
    </row>
    <row r="17" spans="1:71" ht="34.5" customHeight="1" thickBot="1">
      <c r="A17" s="260">
        <v>12</v>
      </c>
      <c r="B17" s="309" t="s">
        <v>321</v>
      </c>
      <c r="C17" s="310"/>
      <c r="D17" s="113">
        <f>'個人資格賽'!FI16</f>
        <v>2483</v>
      </c>
      <c r="E17" s="120">
        <v>8</v>
      </c>
      <c r="F17" s="119">
        <v>164</v>
      </c>
      <c r="G17" s="283"/>
      <c r="H17" s="121">
        <f t="shared" si="0"/>
        <v>164</v>
      </c>
      <c r="I17" s="122">
        <f t="shared" si="1"/>
        <v>1</v>
      </c>
      <c r="J17" s="122">
        <f>IF(F17="","",HLOOKUP(I17,'積點'!$A$1:$O$20,3))</f>
        <v>9</v>
      </c>
      <c r="K17" s="120">
        <f>IF(F17="","",HLOOKUP(I17,'積點'!$A$1:$O$20,4))</f>
        <v>9</v>
      </c>
      <c r="L17" s="119">
        <v>162</v>
      </c>
      <c r="M17" s="283"/>
      <c r="N17" s="121">
        <f t="shared" si="2"/>
        <v>162</v>
      </c>
      <c r="O17" s="122">
        <f t="shared" si="3"/>
        <v>1</v>
      </c>
      <c r="P17" s="122">
        <f>IF(L17="","",HLOOKUP(O17,'積點'!$A$1:$O$20,5))</f>
        <v>9</v>
      </c>
      <c r="Q17" s="120">
        <f>IF(L17="","",HLOOKUP(O17,'積點'!$A$1:$O$20,6))</f>
        <v>9</v>
      </c>
      <c r="R17" s="119">
        <v>158</v>
      </c>
      <c r="S17" s="283"/>
      <c r="T17" s="121">
        <f t="shared" si="4"/>
        <v>158</v>
      </c>
      <c r="U17" s="122">
        <f t="shared" si="5"/>
        <v>6</v>
      </c>
      <c r="V17" s="122">
        <f>IF(R17="","",HLOOKUP(U17,'積點'!$A$1:$O$20,7))</f>
        <v>4</v>
      </c>
      <c r="W17" s="120">
        <f>IF(R17="","",HLOOKUP(U17,'積點'!$A$1:$O$20,8))</f>
        <v>4</v>
      </c>
      <c r="X17" s="119">
        <v>163</v>
      </c>
      <c r="Y17" s="283"/>
      <c r="Z17" s="121">
        <f t="shared" si="6"/>
        <v>163</v>
      </c>
      <c r="AA17" s="122">
        <f>IF(X17="","",RANK(Z17,$Z$6:$Z$19))</f>
        <v>1</v>
      </c>
      <c r="AB17" s="122">
        <f>IF(X17="","",HLOOKUP(AA17,'積點'!$A$1:$O$20,9))</f>
        <v>9</v>
      </c>
      <c r="AC17" s="120">
        <f>IF(X17="","",HLOOKUP(AA17,'積點'!$A$1:$O$20,10))</f>
        <v>9</v>
      </c>
      <c r="AD17" s="139">
        <v>159</v>
      </c>
      <c r="AE17" s="140"/>
      <c r="AF17" s="121">
        <f t="shared" si="8"/>
        <v>159</v>
      </c>
      <c r="AG17" s="122">
        <f t="shared" si="9"/>
        <v>2</v>
      </c>
      <c r="AH17" s="122">
        <f>IF(AD17="","",HLOOKUP(AG17,'積點'!$A$1:$O$20,11))</f>
        <v>8</v>
      </c>
      <c r="AI17" s="120">
        <f>IF(AD17="","",HLOOKUP(AG17,'積點'!$A$1:$O$20,12))</f>
        <v>8</v>
      </c>
      <c r="AJ17" s="139">
        <v>154</v>
      </c>
      <c r="AK17" s="140"/>
      <c r="AL17" s="121">
        <f t="shared" si="10"/>
        <v>154</v>
      </c>
      <c r="AM17" s="122">
        <f t="shared" si="11"/>
        <v>8</v>
      </c>
      <c r="AN17" s="122">
        <f>IF(AJ17="","",HLOOKUP(AM17,'積點'!$A$1:$O$20,13))</f>
        <v>2</v>
      </c>
      <c r="AO17" s="120">
        <f>IF(AJ17="","",HLOOKUP(AM17,'積點'!$A$1:$O$20,14))</f>
        <v>2</v>
      </c>
      <c r="AP17" s="139">
        <v>161</v>
      </c>
      <c r="AQ17" s="140"/>
      <c r="AR17" s="121">
        <f t="shared" si="12"/>
        <v>161</v>
      </c>
      <c r="AS17" s="122">
        <f t="shared" si="13"/>
        <v>5</v>
      </c>
      <c r="AT17" s="122">
        <f>IF(AP17="","",HLOOKUP(AS17,'積點'!$A$1:$O$20,15))</f>
        <v>5</v>
      </c>
      <c r="AU17" s="120">
        <f>IF(AP17="","",HLOOKUP(AS17,'積點'!$A$1:$O$20,16))</f>
        <v>5</v>
      </c>
      <c r="AV17" s="139">
        <v>149</v>
      </c>
      <c r="AW17" s="140"/>
      <c r="AX17" s="121">
        <f t="shared" si="14"/>
        <v>149</v>
      </c>
      <c r="AY17" s="122">
        <f t="shared" si="15"/>
        <v>7</v>
      </c>
      <c r="AZ17" s="122" t="str">
        <f>IF(AV17="","",HLOOKUP(AY17,'積點'!$A$1:$O$20,17))</f>
        <v>淘汰</v>
      </c>
      <c r="BA17" s="120">
        <f>IF(AV17="","",HLOOKUP(AY17,'積點'!$A$1:$O$20,18))</f>
        <v>0</v>
      </c>
      <c r="BB17" s="119">
        <f t="shared" si="16"/>
        <v>46</v>
      </c>
      <c r="BC17" s="140"/>
      <c r="BD17" s="121">
        <f t="shared" si="17"/>
        <v>10046100</v>
      </c>
      <c r="BE17" s="122">
        <f t="shared" si="18"/>
        <v>4</v>
      </c>
      <c r="BF17" s="135">
        <f>IF(BE17="","",HLOOKUP(BE17,'積點'!$A$1:$O$20,20))</f>
        <v>15</v>
      </c>
      <c r="BG17" s="119">
        <f t="shared" si="19"/>
        <v>1270</v>
      </c>
      <c r="BH17" s="271"/>
      <c r="BI17" s="122">
        <f t="shared" si="20"/>
        <v>11270100</v>
      </c>
      <c r="BJ17" s="122">
        <f t="shared" si="21"/>
        <v>4</v>
      </c>
      <c r="BK17" s="120">
        <f>IF(BJ17="","",HLOOKUP(BJ17,'積點'!$A$1:$O$20,19))</f>
        <v>24</v>
      </c>
      <c r="BL17" s="117">
        <f t="shared" si="22"/>
        <v>47</v>
      </c>
      <c r="BM17" s="118">
        <f t="shared" si="23"/>
        <v>5</v>
      </c>
      <c r="BN17" s="276"/>
      <c r="BO17" s="277"/>
      <c r="BP17" s="278"/>
      <c r="BQ17" s="118">
        <f t="shared" si="24"/>
        <v>147</v>
      </c>
      <c r="BR17" s="68">
        <f t="shared" si="25"/>
        <v>14.1</v>
      </c>
      <c r="BS17" s="264"/>
    </row>
    <row r="18" spans="1:71" ht="30" customHeight="1" thickBot="1">
      <c r="A18" s="259">
        <v>13</v>
      </c>
      <c r="B18" s="309" t="s">
        <v>322</v>
      </c>
      <c r="C18" s="310"/>
      <c r="D18" s="113">
        <f>'個人資格賽'!FI17</f>
        <v>2458</v>
      </c>
      <c r="E18" s="120">
        <v>6</v>
      </c>
      <c r="F18" s="119">
        <v>151</v>
      </c>
      <c r="G18" s="283"/>
      <c r="H18" s="121">
        <f t="shared" si="0"/>
        <v>151</v>
      </c>
      <c r="I18" s="122">
        <f t="shared" si="1"/>
        <v>10</v>
      </c>
      <c r="J18" s="122">
        <f>IF(F18="","",HLOOKUP(I18,'積點'!$A$1:$O$20,3))</f>
        <v>0</v>
      </c>
      <c r="K18" s="120">
        <f>IF(F18="","",HLOOKUP(I18,'積點'!$A$1:$O$20,4))</f>
        <v>0</v>
      </c>
      <c r="L18" s="119">
        <v>147</v>
      </c>
      <c r="M18" s="283"/>
      <c r="N18" s="121">
        <f t="shared" si="2"/>
        <v>147</v>
      </c>
      <c r="O18" s="122">
        <f t="shared" si="3"/>
        <v>12</v>
      </c>
      <c r="P18" s="122">
        <f>IF(L18="","",HLOOKUP(O18,'積點'!$A$1:$O$20,5))</f>
        <v>0</v>
      </c>
      <c r="Q18" s="120">
        <f>IF(L18="","",HLOOKUP(O18,'積點'!$A$1:$O$20,6))</f>
        <v>0</v>
      </c>
      <c r="R18" s="119">
        <v>150</v>
      </c>
      <c r="S18" s="283"/>
      <c r="T18" s="121">
        <f t="shared" si="4"/>
        <v>150</v>
      </c>
      <c r="U18" s="122">
        <f t="shared" si="5"/>
        <v>11</v>
      </c>
      <c r="V18" s="122">
        <f>IF(R18="","",HLOOKUP(U18,'積點'!$A$1:$O$20,7))</f>
        <v>0</v>
      </c>
      <c r="W18" s="120">
        <f>IF(R18="","",HLOOKUP(U18,'積點'!$A$1:$O$20,8))</f>
        <v>0</v>
      </c>
      <c r="X18" s="119">
        <v>146</v>
      </c>
      <c r="Y18" s="283"/>
      <c r="Z18" s="121">
        <f t="shared" si="6"/>
        <v>146</v>
      </c>
      <c r="AA18" s="122">
        <f>IF(X18="","",RANK(Z18,$Z$6:$Z$19))</f>
        <v>9</v>
      </c>
      <c r="AB18" s="122">
        <f>IF(X18="","",HLOOKUP(AA18,'積點'!$A$1:$O$20,9))</f>
        <v>1</v>
      </c>
      <c r="AC18" s="120">
        <f>IF(X18="","",HLOOKUP(AA18,'積點'!$A$1:$O$20,10))</f>
        <v>1</v>
      </c>
      <c r="AD18" s="139">
        <v>153</v>
      </c>
      <c r="AE18" s="140"/>
      <c r="AF18" s="121">
        <f t="shared" si="8"/>
        <v>153</v>
      </c>
      <c r="AG18" s="122">
        <f t="shared" si="9"/>
        <v>9</v>
      </c>
      <c r="AH18" s="122">
        <f>IF(AD18="","",HLOOKUP(AG18,'積點'!$A$1:$O$20,11))</f>
        <v>1</v>
      </c>
      <c r="AI18" s="120">
        <f>IF(AD18="","",HLOOKUP(AG18,'積點'!$A$1:$O$20,12))</f>
        <v>1</v>
      </c>
      <c r="AJ18" s="139">
        <v>155</v>
      </c>
      <c r="AK18" s="140"/>
      <c r="AL18" s="121">
        <f t="shared" si="10"/>
        <v>155</v>
      </c>
      <c r="AM18" s="122">
        <f t="shared" si="11"/>
        <v>7</v>
      </c>
      <c r="AN18" s="122">
        <f>IF(AJ18="","",HLOOKUP(AM18,'積點'!$A$1:$O$20,13))</f>
        <v>3</v>
      </c>
      <c r="AO18" s="120">
        <f>IF(AJ18="","",HLOOKUP(AM18,'積點'!$A$1:$O$20,14))</f>
        <v>3</v>
      </c>
      <c r="AP18" s="139">
        <v>158</v>
      </c>
      <c r="AQ18" s="140">
        <v>9</v>
      </c>
      <c r="AR18" s="121">
        <f t="shared" si="12"/>
        <v>158.09</v>
      </c>
      <c r="AS18" s="122">
        <f t="shared" si="13"/>
        <v>7</v>
      </c>
      <c r="AT18" s="122">
        <f>IF(AP18="","",HLOOKUP(AS18,'積點'!$A$1:$O$20,15))</f>
        <v>3</v>
      </c>
      <c r="AU18" s="120">
        <f>IF(AP18="","",HLOOKUP(AS18,'積點'!$A$1:$O$20,16))</f>
        <v>3</v>
      </c>
      <c r="AV18" s="139">
        <v>154</v>
      </c>
      <c r="AW18" s="140"/>
      <c r="AX18" s="121">
        <f t="shared" si="14"/>
        <v>154</v>
      </c>
      <c r="AY18" s="122">
        <f t="shared" si="15"/>
        <v>6</v>
      </c>
      <c r="AZ18" s="122">
        <f>IF(AV18="","",HLOOKUP(AY18,'積點'!$A$1:$O$20,17))</f>
        <v>4</v>
      </c>
      <c r="BA18" s="120">
        <f>IF(AV18="","",HLOOKUP(AY18,'積點'!$A$1:$O$20,18))</f>
        <v>4</v>
      </c>
      <c r="BB18" s="119">
        <f t="shared" si="16"/>
        <v>12</v>
      </c>
      <c r="BC18" s="140">
        <v>9</v>
      </c>
      <c r="BD18" s="121">
        <f t="shared" si="17"/>
        <v>10012109</v>
      </c>
      <c r="BE18" s="122">
        <f t="shared" si="18"/>
        <v>9</v>
      </c>
      <c r="BF18" s="135">
        <f>IF(BE18="","",HLOOKUP(BE18,'積點'!$A$1:$O$20,20))</f>
        <v>2</v>
      </c>
      <c r="BG18" s="119">
        <f t="shared" si="19"/>
        <v>1214</v>
      </c>
      <c r="BH18" s="271"/>
      <c r="BI18" s="122">
        <f t="shared" si="20"/>
        <v>11214100</v>
      </c>
      <c r="BJ18" s="122">
        <f t="shared" si="21"/>
        <v>7</v>
      </c>
      <c r="BK18" s="120">
        <f>IF(BJ18="","",HLOOKUP(BJ18,'積點'!$A$1:$O$20,19))</f>
        <v>12</v>
      </c>
      <c r="BL18" s="117">
        <f t="shared" si="22"/>
        <v>20</v>
      </c>
      <c r="BM18" s="118">
        <f t="shared" si="23"/>
        <v>10</v>
      </c>
      <c r="BN18" s="276"/>
      <c r="BO18" s="277"/>
      <c r="BP18" s="278"/>
      <c r="BQ18" s="118">
        <f t="shared" si="24"/>
        <v>120</v>
      </c>
      <c r="BR18" s="68">
        <f t="shared" si="25"/>
        <v>6</v>
      </c>
      <c r="BS18" s="264"/>
    </row>
    <row r="19" spans="1:71" ht="30" customHeight="1" thickBot="1">
      <c r="A19" s="260">
        <v>14</v>
      </c>
      <c r="B19" s="309" t="s">
        <v>323</v>
      </c>
      <c r="C19" s="310"/>
      <c r="D19" s="248">
        <f>'個人資格賽'!FI18</f>
        <v>2437</v>
      </c>
      <c r="E19" s="123">
        <v>4</v>
      </c>
      <c r="F19" s="130">
        <v>150</v>
      </c>
      <c r="G19" s="284"/>
      <c r="H19" s="131">
        <f t="shared" si="0"/>
        <v>150</v>
      </c>
      <c r="I19" s="122">
        <f t="shared" si="1"/>
        <v>12</v>
      </c>
      <c r="J19" s="132">
        <f>IF(F19="","",HLOOKUP(I19,'積點'!$A$1:$O$20,3))</f>
        <v>0</v>
      </c>
      <c r="K19" s="133">
        <f>IF(F19="","",HLOOKUP(I19,'積點'!$A$1:$O$20,4))</f>
        <v>0</v>
      </c>
      <c r="L19" s="130">
        <v>145</v>
      </c>
      <c r="M19" s="284"/>
      <c r="N19" s="131">
        <f t="shared" si="2"/>
        <v>145</v>
      </c>
      <c r="O19" s="122">
        <f t="shared" si="3"/>
        <v>13</v>
      </c>
      <c r="P19" s="132" t="str">
        <f>IF(L19="","",HLOOKUP(O19,'積點'!$A$1:$O$20,5))</f>
        <v>淘汰</v>
      </c>
      <c r="Q19" s="133">
        <f>IF(L19="","",HLOOKUP(O19,'積點'!$A$1:$O$20,6))</f>
        <v>0</v>
      </c>
      <c r="R19" s="130"/>
      <c r="S19" s="284"/>
      <c r="T19" s="131">
        <f t="shared" si="4"/>
        <v>0</v>
      </c>
      <c r="U19" s="122">
        <f t="shared" si="5"/>
      </c>
      <c r="V19" s="132">
        <f>IF(R19="","",HLOOKUP(U19,'積點'!$A$1:$O$20,7))</f>
      </c>
      <c r="W19" s="133">
        <f>IF(R19="","",HLOOKUP(U19,'積點'!$A$1:$O$20,8))</f>
      </c>
      <c r="X19" s="130"/>
      <c r="Y19" s="284"/>
      <c r="Z19" s="131">
        <f t="shared" si="6"/>
        <v>0</v>
      </c>
      <c r="AA19" s="122">
        <f>IF(X19="","",RANK(Z19,$Z$6:$Z$19))</f>
      </c>
      <c r="AB19" s="132">
        <f>IF(X19="","",HLOOKUP(AA19,'積點'!$A$1:$O$20,9))</f>
      </c>
      <c r="AC19" s="133">
        <f>IF(X19="","",HLOOKUP(AA19,'積點'!$A$1:$O$20,10))</f>
      </c>
      <c r="AD19" s="141"/>
      <c r="AE19" s="142"/>
      <c r="AF19" s="131">
        <f t="shared" si="8"/>
        <v>0</v>
      </c>
      <c r="AG19" s="132">
        <f t="shared" si="9"/>
      </c>
      <c r="AH19" s="132">
        <f>IF(AD19="","",HLOOKUP(AG19,'積點'!$A$1:$O$20,11))</f>
      </c>
      <c r="AI19" s="133">
        <f>IF(AD19="","",HLOOKUP(AG19,'積點'!$A$1:$O$20,12))</f>
      </c>
      <c r="AJ19" s="141"/>
      <c r="AK19" s="142"/>
      <c r="AL19" s="131">
        <f t="shared" si="10"/>
        <v>0</v>
      </c>
      <c r="AM19" s="132">
        <f t="shared" si="11"/>
      </c>
      <c r="AN19" s="132">
        <f>IF(AJ19="","",HLOOKUP(AM19,'積點'!$A$1:$O$20,13))</f>
      </c>
      <c r="AO19" s="133">
        <f>IF(AJ19="","",HLOOKUP(AM19,'積點'!$A$1:$O$20,14))</f>
      </c>
      <c r="AP19" s="141"/>
      <c r="AQ19" s="142"/>
      <c r="AR19" s="131">
        <f t="shared" si="12"/>
        <v>0</v>
      </c>
      <c r="AS19" s="132">
        <f t="shared" si="13"/>
      </c>
      <c r="AT19" s="132">
        <f>IF(AP19="","",HLOOKUP(AS19,'積點'!$A$1:$O$20,15))</f>
      </c>
      <c r="AU19" s="133">
        <f>IF(AP19="","",HLOOKUP(AS19,'積點'!$A$1:$O$20,16))</f>
      </c>
      <c r="AV19" s="141"/>
      <c r="AW19" s="142"/>
      <c r="AX19" s="131">
        <f t="shared" si="14"/>
        <v>0</v>
      </c>
      <c r="AY19" s="132">
        <f t="shared" si="15"/>
      </c>
      <c r="AZ19" s="132">
        <f>IF(AV19="","",HLOOKUP(AY19,'積點'!$A$1:$O$20,17))</f>
      </c>
      <c r="BA19" s="133">
        <f>IF(AV19="","",HLOOKUP(AY19,'積點'!$A$1:$O$20,18))</f>
      </c>
      <c r="BB19" s="130">
        <f t="shared" si="16"/>
        <v>0</v>
      </c>
      <c r="BC19" s="142"/>
      <c r="BD19" s="131">
        <f t="shared" si="17"/>
        <v>10000100</v>
      </c>
      <c r="BE19" s="132">
        <f t="shared" si="18"/>
        <v>13</v>
      </c>
      <c r="BF19" s="136">
        <f>IF(BE19="","",HLOOKUP(BE19,'積點'!$A$1:$O$20,20))</f>
        <v>0</v>
      </c>
      <c r="BG19" s="130">
        <f t="shared" si="19"/>
        <v>295</v>
      </c>
      <c r="BH19" s="272"/>
      <c r="BI19" s="132">
        <f t="shared" si="20"/>
        <v>10295100</v>
      </c>
      <c r="BJ19" s="132">
        <f t="shared" si="21"/>
        <v>13</v>
      </c>
      <c r="BK19" s="133">
        <f>IF(BJ19="","",HLOOKUP(BJ19,'積點'!$A$1:$O$20,19))</f>
        <v>0</v>
      </c>
      <c r="BL19" s="117">
        <f t="shared" si="22"/>
        <v>4</v>
      </c>
      <c r="BM19" s="118">
        <f t="shared" si="23"/>
        <v>14</v>
      </c>
      <c r="BN19" s="279"/>
      <c r="BO19" s="280"/>
      <c r="BP19" s="281"/>
      <c r="BQ19" s="118">
        <f t="shared" si="24"/>
        <v>104</v>
      </c>
      <c r="BR19" s="68">
        <f t="shared" si="25"/>
        <v>1.2</v>
      </c>
      <c r="BS19" s="265"/>
    </row>
    <row r="20" s="261" customFormat="1" ht="21" customHeight="1">
      <c r="B20" s="269" t="s">
        <v>328</v>
      </c>
    </row>
    <row r="21" s="261" customFormat="1" ht="21">
      <c r="A21" s="262" t="s">
        <v>310</v>
      </c>
    </row>
  </sheetData>
  <sheetProtection password="C613" sheet="1" objects="1" scenarios="1"/>
  <mergeCells count="36">
    <mergeCell ref="A4:A5"/>
    <mergeCell ref="D4:D5"/>
    <mergeCell ref="B4:C5"/>
    <mergeCell ref="E4:E5"/>
    <mergeCell ref="BO4:BO5"/>
    <mergeCell ref="BG3:BG5"/>
    <mergeCell ref="BJ3:BJ5"/>
    <mergeCell ref="BK3:BK5"/>
    <mergeCell ref="BH3:BH5"/>
    <mergeCell ref="BI3:BI5"/>
    <mergeCell ref="B11:C11"/>
    <mergeCell ref="B17:C17"/>
    <mergeCell ref="B13:C13"/>
    <mergeCell ref="B14:C14"/>
    <mergeCell ref="B15:C15"/>
    <mergeCell ref="B12:C12"/>
    <mergeCell ref="B16:C16"/>
    <mergeCell ref="BM3:BM5"/>
    <mergeCell ref="BN4:BN5"/>
    <mergeCell ref="B9:C9"/>
    <mergeCell ref="B10:C10"/>
    <mergeCell ref="BB3:BB5"/>
    <mergeCell ref="BE3:BE5"/>
    <mergeCell ref="BF3:BF5"/>
    <mergeCell ref="BC3:BC5"/>
    <mergeCell ref="BD3:BD5"/>
    <mergeCell ref="B18:C18"/>
    <mergeCell ref="B19:C19"/>
    <mergeCell ref="BS3:BS5"/>
    <mergeCell ref="B6:C6"/>
    <mergeCell ref="B7:C7"/>
    <mergeCell ref="B8:C8"/>
    <mergeCell ref="BP4:BP5"/>
    <mergeCell ref="BQ3:BQ5"/>
    <mergeCell ref="BR3:BR5"/>
    <mergeCell ref="BL3:BL5"/>
  </mergeCells>
  <conditionalFormatting sqref="BF6:BG19 J6:K19 V6:W19 AH6:AI19 AZ6:BA19 AN6:AO19 AT6:AU19 P6:Q19 AB6:AC19">
    <cfRule type="cellIs" priority="1" dxfId="0" operator="equal" stopIfTrue="1">
      <formula>"淘汰"</formula>
    </cfRule>
  </conditionalFormatting>
  <conditionalFormatting sqref="AE6:AF19 M6:N19 BB6:BD19 S6:T19 AQ6:AR19 AK6:AL19 AW6:AX19 Y6:Z19 G6:H19">
    <cfRule type="cellIs" priority="2" dxfId="1" operator="greaterThanOrEqual" stopIfTrue="1">
      <formula>#REF!</formula>
    </cfRule>
  </conditionalFormatting>
  <conditionalFormatting sqref="F6:F19 R6:R19 L6:L19 X6:X19 AD6:AD19 AJ6:AJ19 AP6:AP19 AV6:AV19">
    <cfRule type="cellIs" priority="3" dxfId="1" operator="greaterThanOrEqual" stopIfTrue="1">
      <formula>171</formula>
    </cfRule>
  </conditionalFormatting>
  <printOptions horizontalCentered="1" verticalCentered="1"/>
  <pageMargins left="0.3937007874015748" right="0" top="0" bottom="0" header="0.7874015748031497" footer="0.7874015748031497"/>
  <pageSetup blackAndWhite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FQ27"/>
  <sheetViews>
    <sheetView workbookViewId="0" topLeftCell="A1">
      <pane ySplit="4" topLeftCell="BM17" activePane="bottomLeft" state="frozen"/>
      <selection pane="topLeft" activeCell="A1" sqref="A1"/>
      <selection pane="bottomLeft" activeCell="FC25" sqref="FC25"/>
    </sheetView>
  </sheetViews>
  <sheetFormatPr defaultColWidth="9.00390625" defaultRowHeight="16.5"/>
  <cols>
    <col min="1" max="1" width="7.50390625" style="2" bestFit="1" customWidth="1"/>
    <col min="2" max="2" width="24.875" style="75" customWidth="1"/>
    <col min="3" max="3" width="2.875" style="75" hidden="1" customWidth="1"/>
    <col min="4" max="147" width="3.625" style="2" hidden="1" customWidth="1"/>
    <col min="148" max="148" width="7.50390625" style="2" hidden="1" customWidth="1"/>
    <col min="149" max="149" width="5.625" style="2" hidden="1" customWidth="1"/>
    <col min="150" max="150" width="7.50390625" style="2" hidden="1" customWidth="1"/>
    <col min="151" max="151" width="5.625" style="2" hidden="1" customWidth="1"/>
    <col min="152" max="152" width="7.50390625" style="2" hidden="1" customWidth="1"/>
    <col min="153" max="153" width="5.625" style="2" hidden="1" customWidth="1"/>
    <col min="154" max="154" width="7.50390625" style="2" hidden="1" customWidth="1"/>
    <col min="155" max="156" width="5.625" style="2" hidden="1" customWidth="1"/>
    <col min="157" max="158" width="4.625" style="2" hidden="1" customWidth="1"/>
    <col min="159" max="159" width="8.25390625" style="2" customWidth="1"/>
    <col min="160" max="160" width="4.625" style="2" customWidth="1"/>
    <col min="161" max="163" width="5.625" style="2" customWidth="1"/>
    <col min="164" max="164" width="5.50390625" style="2" bestFit="1" customWidth="1"/>
    <col min="165" max="165" width="5.625" style="2" customWidth="1"/>
    <col min="166" max="166" width="6.875" style="2" customWidth="1"/>
    <col min="167" max="167" width="6.625" style="2" customWidth="1"/>
    <col min="168" max="170" width="4.50390625" style="2" hidden="1" customWidth="1"/>
    <col min="171" max="171" width="34.875" style="2" customWidth="1"/>
    <col min="172" max="172" width="15.00390625" style="2" bestFit="1" customWidth="1"/>
    <col min="173" max="173" width="17.625" style="82" customWidth="1"/>
    <col min="174" max="16384" width="9.00390625" style="2" customWidth="1"/>
  </cols>
  <sheetData>
    <row r="1" spans="1:172" ht="21">
      <c r="A1" s="303" t="s">
        <v>305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1"/>
      <c r="FP1"/>
    </row>
    <row r="2" spans="1:172" ht="21">
      <c r="A2" s="368" t="s">
        <v>51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369"/>
      <c r="CR2" s="369"/>
      <c r="CS2" s="369"/>
      <c r="CT2" s="369"/>
      <c r="CU2" s="369"/>
      <c r="CV2" s="369"/>
      <c r="CW2" s="369"/>
      <c r="CX2" s="369"/>
      <c r="CY2" s="369"/>
      <c r="CZ2" s="369"/>
      <c r="DA2" s="369"/>
      <c r="DB2" s="369"/>
      <c r="DC2" s="369"/>
      <c r="DD2" s="369"/>
      <c r="DE2" s="369"/>
      <c r="DF2" s="369"/>
      <c r="DG2" s="369"/>
      <c r="DH2" s="369"/>
      <c r="DI2" s="369"/>
      <c r="DJ2" s="369"/>
      <c r="DK2" s="369"/>
      <c r="DL2" s="369"/>
      <c r="DM2" s="369"/>
      <c r="DN2" s="369"/>
      <c r="DO2" s="369"/>
      <c r="DP2" s="369"/>
      <c r="DQ2" s="369"/>
      <c r="DR2" s="369"/>
      <c r="DS2" s="369"/>
      <c r="DT2" s="369"/>
      <c r="DU2" s="369"/>
      <c r="DV2" s="369"/>
      <c r="DW2" s="369"/>
      <c r="DX2" s="369"/>
      <c r="DY2" s="369"/>
      <c r="DZ2" s="369"/>
      <c r="EA2" s="369"/>
      <c r="EB2" s="369"/>
      <c r="EC2" s="369"/>
      <c r="ED2" s="369"/>
      <c r="EE2" s="369"/>
      <c r="EF2" s="369"/>
      <c r="EG2" s="369"/>
      <c r="EH2" s="369"/>
      <c r="EI2" s="369"/>
      <c r="EJ2" s="369"/>
      <c r="EK2" s="369"/>
      <c r="EL2" s="369"/>
      <c r="EM2" s="369"/>
      <c r="EN2" s="369"/>
      <c r="EO2" s="369"/>
      <c r="EP2" s="369"/>
      <c r="EQ2" s="369"/>
      <c r="ER2" s="369"/>
      <c r="ES2" s="369"/>
      <c r="ET2" s="369"/>
      <c r="EU2" s="369"/>
      <c r="EV2" s="369"/>
      <c r="EW2" s="369"/>
      <c r="EX2" s="369"/>
      <c r="EY2" s="369"/>
      <c r="EZ2" s="369"/>
      <c r="FA2" s="369"/>
      <c r="FB2" s="369"/>
      <c r="FC2" s="369"/>
      <c r="FD2" s="369"/>
      <c r="FE2" s="369"/>
      <c r="FF2" s="369"/>
      <c r="FG2" s="369"/>
      <c r="FH2" s="369"/>
      <c r="FI2" s="369"/>
      <c r="FJ2" s="369"/>
      <c r="FK2" s="369"/>
      <c r="FL2" s="369"/>
      <c r="FM2" s="369"/>
      <c r="FN2" s="369"/>
      <c r="FO2" s="369"/>
      <c r="FP2" s="78"/>
    </row>
    <row r="3" spans="1:172" ht="16.5">
      <c r="A3" s="3" t="s">
        <v>3</v>
      </c>
      <c r="B3" s="87" t="s">
        <v>58</v>
      </c>
      <c r="C3" s="5" t="s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7" t="s">
        <v>9</v>
      </c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8"/>
      <c r="BW3" s="9" t="s">
        <v>10</v>
      </c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10"/>
      <c r="DG3" s="11" t="s">
        <v>11</v>
      </c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2"/>
      <c r="EQ3" s="13" t="s">
        <v>12</v>
      </c>
      <c r="ER3" s="14"/>
      <c r="ES3" s="14"/>
      <c r="ET3" s="14"/>
      <c r="EU3" s="14"/>
      <c r="EV3" s="14"/>
      <c r="EW3" s="14"/>
      <c r="EX3" s="15"/>
      <c r="EY3" s="16" t="s">
        <v>13</v>
      </c>
      <c r="EZ3" s="17" t="s">
        <v>14</v>
      </c>
      <c r="FA3" s="18"/>
      <c r="FB3" s="79"/>
      <c r="FC3" s="362" t="s">
        <v>99</v>
      </c>
      <c r="FD3" s="19" t="s">
        <v>22</v>
      </c>
      <c r="FE3" s="4"/>
      <c r="FF3" s="4"/>
      <c r="FG3" s="4"/>
      <c r="FH3" s="4"/>
      <c r="FI3" s="4"/>
      <c r="FJ3" s="20"/>
      <c r="FK3" s="249" t="s">
        <v>304</v>
      </c>
      <c r="FL3" s="4"/>
      <c r="FM3" s="4"/>
      <c r="FN3" s="366" t="s">
        <v>5</v>
      </c>
      <c r="FO3" s="364" t="s">
        <v>2</v>
      </c>
      <c r="FP3"/>
    </row>
    <row r="4" spans="1:172" ht="17.25" thickBot="1">
      <c r="A4" s="21" t="s">
        <v>0</v>
      </c>
      <c r="B4" s="71" t="s">
        <v>98</v>
      </c>
      <c r="C4" s="23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  <c r="O4" s="24">
        <v>13</v>
      </c>
      <c r="P4" s="24">
        <v>14</v>
      </c>
      <c r="Q4" s="24">
        <v>15</v>
      </c>
      <c r="R4" s="24">
        <v>16</v>
      </c>
      <c r="S4" s="24">
        <v>17</v>
      </c>
      <c r="T4" s="24">
        <v>18</v>
      </c>
      <c r="U4" s="24">
        <v>19</v>
      </c>
      <c r="V4" s="24">
        <v>20</v>
      </c>
      <c r="W4" s="24">
        <v>21</v>
      </c>
      <c r="X4" s="24">
        <v>22</v>
      </c>
      <c r="Y4" s="24">
        <v>23</v>
      </c>
      <c r="Z4" s="24">
        <v>24</v>
      </c>
      <c r="AA4" s="24">
        <v>25</v>
      </c>
      <c r="AB4" s="24">
        <v>26</v>
      </c>
      <c r="AC4" s="24">
        <v>27</v>
      </c>
      <c r="AD4" s="24">
        <v>28</v>
      </c>
      <c r="AE4" s="24">
        <v>29</v>
      </c>
      <c r="AF4" s="24">
        <v>30</v>
      </c>
      <c r="AG4" s="24">
        <v>31</v>
      </c>
      <c r="AH4" s="24">
        <v>32</v>
      </c>
      <c r="AI4" s="24">
        <v>33</v>
      </c>
      <c r="AJ4" s="24">
        <v>34</v>
      </c>
      <c r="AK4" s="24">
        <v>35</v>
      </c>
      <c r="AL4" s="25">
        <v>36</v>
      </c>
      <c r="AM4" s="26">
        <v>1</v>
      </c>
      <c r="AN4" s="27">
        <v>2</v>
      </c>
      <c r="AO4" s="27">
        <v>3</v>
      </c>
      <c r="AP4" s="27">
        <v>4</v>
      </c>
      <c r="AQ4" s="27">
        <v>5</v>
      </c>
      <c r="AR4" s="27">
        <v>6</v>
      </c>
      <c r="AS4" s="27">
        <v>7</v>
      </c>
      <c r="AT4" s="27">
        <v>8</v>
      </c>
      <c r="AU4" s="27">
        <v>9</v>
      </c>
      <c r="AV4" s="27">
        <v>10</v>
      </c>
      <c r="AW4" s="27">
        <v>11</v>
      </c>
      <c r="AX4" s="27">
        <v>12</v>
      </c>
      <c r="AY4" s="27">
        <v>13</v>
      </c>
      <c r="AZ4" s="27">
        <v>14</v>
      </c>
      <c r="BA4" s="27">
        <v>15</v>
      </c>
      <c r="BB4" s="27">
        <v>16</v>
      </c>
      <c r="BC4" s="27">
        <v>17</v>
      </c>
      <c r="BD4" s="27">
        <v>18</v>
      </c>
      <c r="BE4" s="27">
        <v>19</v>
      </c>
      <c r="BF4" s="27">
        <v>20</v>
      </c>
      <c r="BG4" s="27">
        <v>21</v>
      </c>
      <c r="BH4" s="27">
        <v>22</v>
      </c>
      <c r="BI4" s="27">
        <v>23</v>
      </c>
      <c r="BJ4" s="27">
        <v>24</v>
      </c>
      <c r="BK4" s="27">
        <v>25</v>
      </c>
      <c r="BL4" s="27">
        <v>26</v>
      </c>
      <c r="BM4" s="27">
        <v>27</v>
      </c>
      <c r="BN4" s="27">
        <v>28</v>
      </c>
      <c r="BO4" s="27">
        <v>29</v>
      </c>
      <c r="BP4" s="27">
        <v>30</v>
      </c>
      <c r="BQ4" s="27">
        <v>31</v>
      </c>
      <c r="BR4" s="27">
        <v>32</v>
      </c>
      <c r="BS4" s="27">
        <v>33</v>
      </c>
      <c r="BT4" s="27">
        <v>34</v>
      </c>
      <c r="BU4" s="27">
        <v>35</v>
      </c>
      <c r="BV4" s="28">
        <v>36</v>
      </c>
      <c r="BW4" s="29">
        <v>1</v>
      </c>
      <c r="BX4" s="30">
        <v>2</v>
      </c>
      <c r="BY4" s="30">
        <v>3</v>
      </c>
      <c r="BZ4" s="30">
        <v>4</v>
      </c>
      <c r="CA4" s="30">
        <v>5</v>
      </c>
      <c r="CB4" s="30">
        <v>6</v>
      </c>
      <c r="CC4" s="30">
        <v>7</v>
      </c>
      <c r="CD4" s="30">
        <v>8</v>
      </c>
      <c r="CE4" s="30">
        <v>9</v>
      </c>
      <c r="CF4" s="30">
        <v>10</v>
      </c>
      <c r="CG4" s="30">
        <v>11</v>
      </c>
      <c r="CH4" s="30">
        <v>12</v>
      </c>
      <c r="CI4" s="30">
        <v>13</v>
      </c>
      <c r="CJ4" s="30">
        <v>14</v>
      </c>
      <c r="CK4" s="30">
        <v>15</v>
      </c>
      <c r="CL4" s="30">
        <v>16</v>
      </c>
      <c r="CM4" s="30">
        <v>17</v>
      </c>
      <c r="CN4" s="30">
        <v>18</v>
      </c>
      <c r="CO4" s="30">
        <v>19</v>
      </c>
      <c r="CP4" s="30">
        <v>20</v>
      </c>
      <c r="CQ4" s="30">
        <v>21</v>
      </c>
      <c r="CR4" s="30">
        <v>22</v>
      </c>
      <c r="CS4" s="30">
        <v>23</v>
      </c>
      <c r="CT4" s="30">
        <v>24</v>
      </c>
      <c r="CU4" s="30">
        <v>25</v>
      </c>
      <c r="CV4" s="30">
        <v>26</v>
      </c>
      <c r="CW4" s="30">
        <v>27</v>
      </c>
      <c r="CX4" s="30">
        <v>28</v>
      </c>
      <c r="CY4" s="30">
        <v>29</v>
      </c>
      <c r="CZ4" s="30">
        <v>30</v>
      </c>
      <c r="DA4" s="30">
        <v>31</v>
      </c>
      <c r="DB4" s="30">
        <v>32</v>
      </c>
      <c r="DC4" s="30">
        <v>33</v>
      </c>
      <c r="DD4" s="30">
        <v>34</v>
      </c>
      <c r="DE4" s="30">
        <v>35</v>
      </c>
      <c r="DF4" s="31">
        <v>36</v>
      </c>
      <c r="DG4" s="32">
        <v>1</v>
      </c>
      <c r="DH4" s="33">
        <v>2</v>
      </c>
      <c r="DI4" s="33">
        <v>3</v>
      </c>
      <c r="DJ4" s="33">
        <v>4</v>
      </c>
      <c r="DK4" s="33">
        <v>5</v>
      </c>
      <c r="DL4" s="33">
        <v>6</v>
      </c>
      <c r="DM4" s="33">
        <v>7</v>
      </c>
      <c r="DN4" s="33">
        <v>8</v>
      </c>
      <c r="DO4" s="33">
        <v>9</v>
      </c>
      <c r="DP4" s="33">
        <v>10</v>
      </c>
      <c r="DQ4" s="33">
        <v>11</v>
      </c>
      <c r="DR4" s="33">
        <v>12</v>
      </c>
      <c r="DS4" s="33">
        <v>13</v>
      </c>
      <c r="DT4" s="33">
        <v>14</v>
      </c>
      <c r="DU4" s="33">
        <v>15</v>
      </c>
      <c r="DV4" s="33">
        <v>16</v>
      </c>
      <c r="DW4" s="33">
        <v>17</v>
      </c>
      <c r="DX4" s="33">
        <v>18</v>
      </c>
      <c r="DY4" s="33">
        <v>19</v>
      </c>
      <c r="DZ4" s="33">
        <v>20</v>
      </c>
      <c r="EA4" s="33">
        <v>21</v>
      </c>
      <c r="EB4" s="33">
        <v>22</v>
      </c>
      <c r="EC4" s="33">
        <v>23</v>
      </c>
      <c r="ED4" s="33">
        <v>24</v>
      </c>
      <c r="EE4" s="33">
        <v>25</v>
      </c>
      <c r="EF4" s="33">
        <v>26</v>
      </c>
      <c r="EG4" s="33">
        <v>27</v>
      </c>
      <c r="EH4" s="33">
        <v>28</v>
      </c>
      <c r="EI4" s="33">
        <v>29</v>
      </c>
      <c r="EJ4" s="33">
        <v>30</v>
      </c>
      <c r="EK4" s="33">
        <v>31</v>
      </c>
      <c r="EL4" s="33">
        <v>32</v>
      </c>
      <c r="EM4" s="33">
        <v>33</v>
      </c>
      <c r="EN4" s="33">
        <v>34</v>
      </c>
      <c r="EO4" s="33">
        <v>35</v>
      </c>
      <c r="EP4" s="34">
        <v>36</v>
      </c>
      <c r="EQ4" s="35" t="s">
        <v>8</v>
      </c>
      <c r="ER4" s="24" t="s">
        <v>15</v>
      </c>
      <c r="ES4" s="27" t="s">
        <v>9</v>
      </c>
      <c r="ET4" s="27" t="s">
        <v>16</v>
      </c>
      <c r="EU4" s="30" t="s">
        <v>10</v>
      </c>
      <c r="EV4" s="30" t="s">
        <v>17</v>
      </c>
      <c r="EW4" s="33" t="s">
        <v>7</v>
      </c>
      <c r="EX4" s="34" t="s">
        <v>18</v>
      </c>
      <c r="EY4" s="36" t="s">
        <v>19</v>
      </c>
      <c r="EZ4" s="37" t="s">
        <v>20</v>
      </c>
      <c r="FA4" s="38">
        <v>10</v>
      </c>
      <c r="FB4" s="80" t="s">
        <v>21</v>
      </c>
      <c r="FC4" s="363"/>
      <c r="FD4" s="39" t="s">
        <v>6</v>
      </c>
      <c r="FE4" s="22" t="s">
        <v>6</v>
      </c>
      <c r="FF4" s="22" t="s">
        <v>6</v>
      </c>
      <c r="FG4" s="40" t="s">
        <v>6</v>
      </c>
      <c r="FH4" s="81" t="s">
        <v>100</v>
      </c>
      <c r="FI4" s="21" t="s">
        <v>4</v>
      </c>
      <c r="FJ4" s="40" t="s">
        <v>1</v>
      </c>
      <c r="FK4" s="41" t="s">
        <v>23</v>
      </c>
      <c r="FL4" s="22" t="s">
        <v>24</v>
      </c>
      <c r="FM4" s="22" t="s">
        <v>25</v>
      </c>
      <c r="FN4" s="367"/>
      <c r="FO4" s="365"/>
      <c r="FP4"/>
    </row>
    <row r="5" spans="1:173" ht="40.5" customHeight="1" thickBot="1">
      <c r="A5" s="76" t="s">
        <v>70</v>
      </c>
      <c r="B5" s="72" t="s">
        <v>89</v>
      </c>
      <c r="C5" s="42"/>
      <c r="D5" s="43"/>
      <c r="E5" s="43"/>
      <c r="F5" s="43"/>
      <c r="G5" s="43"/>
      <c r="H5" s="44"/>
      <c r="I5" s="42"/>
      <c r="J5" s="43"/>
      <c r="K5" s="43"/>
      <c r="L5" s="43"/>
      <c r="M5" s="43"/>
      <c r="N5" s="44"/>
      <c r="O5" s="42"/>
      <c r="P5" s="43"/>
      <c r="Q5" s="43"/>
      <c r="R5" s="43"/>
      <c r="S5" s="43"/>
      <c r="T5" s="44"/>
      <c r="U5" s="42"/>
      <c r="V5" s="43"/>
      <c r="W5" s="43"/>
      <c r="X5" s="43"/>
      <c r="Y5" s="43"/>
      <c r="Z5" s="44"/>
      <c r="AA5" s="42"/>
      <c r="AB5" s="43"/>
      <c r="AC5" s="43"/>
      <c r="AD5" s="43"/>
      <c r="AE5" s="43"/>
      <c r="AF5" s="44"/>
      <c r="AG5" s="42"/>
      <c r="AH5" s="43"/>
      <c r="AI5" s="43"/>
      <c r="AJ5" s="43"/>
      <c r="AK5" s="43"/>
      <c r="AL5" s="44"/>
      <c r="AM5" s="42"/>
      <c r="AN5" s="43"/>
      <c r="AO5" s="43"/>
      <c r="AP5" s="43"/>
      <c r="AQ5" s="43"/>
      <c r="AR5" s="44"/>
      <c r="AS5" s="42"/>
      <c r="AT5" s="43"/>
      <c r="AU5" s="43"/>
      <c r="AV5" s="43"/>
      <c r="AW5" s="43"/>
      <c r="AX5" s="44"/>
      <c r="AY5" s="42"/>
      <c r="AZ5" s="43"/>
      <c r="BA5" s="43"/>
      <c r="BB5" s="43"/>
      <c r="BC5" s="43"/>
      <c r="BD5" s="44"/>
      <c r="BE5" s="42"/>
      <c r="BF5" s="43"/>
      <c r="BG5" s="43"/>
      <c r="BH5" s="43"/>
      <c r="BI5" s="43"/>
      <c r="BJ5" s="44"/>
      <c r="BK5" s="42"/>
      <c r="BL5" s="43"/>
      <c r="BM5" s="43"/>
      <c r="BN5" s="43"/>
      <c r="BO5" s="43"/>
      <c r="BP5" s="44"/>
      <c r="BQ5" s="42"/>
      <c r="BR5" s="43"/>
      <c r="BS5" s="43"/>
      <c r="BT5" s="43"/>
      <c r="BU5" s="43"/>
      <c r="BV5" s="44"/>
      <c r="BW5" s="42"/>
      <c r="BX5" s="43"/>
      <c r="BY5" s="43"/>
      <c r="BZ5" s="43"/>
      <c r="CA5" s="43"/>
      <c r="CB5" s="44"/>
      <c r="CC5" s="42"/>
      <c r="CD5" s="43"/>
      <c r="CE5" s="43"/>
      <c r="CF5" s="43"/>
      <c r="CG5" s="43"/>
      <c r="CH5" s="44"/>
      <c r="CI5" s="42"/>
      <c r="CJ5" s="43"/>
      <c r="CK5" s="43"/>
      <c r="CL5" s="43"/>
      <c r="CM5" s="43"/>
      <c r="CN5" s="44"/>
      <c r="CO5" s="42"/>
      <c r="CP5" s="43"/>
      <c r="CQ5" s="43"/>
      <c r="CR5" s="43"/>
      <c r="CS5" s="43"/>
      <c r="CT5" s="44"/>
      <c r="CU5" s="42"/>
      <c r="CV5" s="43"/>
      <c r="CW5" s="43"/>
      <c r="CX5" s="43"/>
      <c r="CY5" s="43"/>
      <c r="CZ5" s="44"/>
      <c r="DA5" s="42"/>
      <c r="DB5" s="43"/>
      <c r="DC5" s="43"/>
      <c r="DD5" s="43"/>
      <c r="DE5" s="43"/>
      <c r="DF5" s="44"/>
      <c r="DG5" s="42"/>
      <c r="DH5" s="43"/>
      <c r="DI5" s="43"/>
      <c r="DJ5" s="43"/>
      <c r="DK5" s="43"/>
      <c r="DL5" s="44"/>
      <c r="DM5" s="42"/>
      <c r="DN5" s="43"/>
      <c r="DO5" s="43"/>
      <c r="DP5" s="43"/>
      <c r="DQ5" s="43"/>
      <c r="DR5" s="44"/>
      <c r="DS5" s="42"/>
      <c r="DT5" s="43"/>
      <c r="DU5" s="43"/>
      <c r="DV5" s="43"/>
      <c r="DW5" s="43"/>
      <c r="DX5" s="44"/>
      <c r="DY5" s="42"/>
      <c r="DZ5" s="43"/>
      <c r="EA5" s="43"/>
      <c r="EB5" s="43"/>
      <c r="EC5" s="43"/>
      <c r="ED5" s="44"/>
      <c r="EE5" s="42"/>
      <c r="EF5" s="43"/>
      <c r="EG5" s="43"/>
      <c r="EH5" s="43"/>
      <c r="EI5" s="43"/>
      <c r="EJ5" s="44"/>
      <c r="EK5" s="42"/>
      <c r="EL5" s="43"/>
      <c r="EM5" s="43"/>
      <c r="EN5" s="43"/>
      <c r="EO5" s="43"/>
      <c r="EP5" s="44"/>
      <c r="EQ5" s="45">
        <f aca="true" t="shared" si="0" ref="EQ5:EQ24">SUM(C5:AL5)+(ER5*10)</f>
        <v>0</v>
      </c>
      <c r="ER5" s="46">
        <f aca="true" t="shared" si="1" ref="ER5:ER24">COUNTIF(C5:AL5,"x")</f>
        <v>0</v>
      </c>
      <c r="ES5" s="45">
        <f aca="true" t="shared" si="2" ref="ES5:ES24">SUM(AM5:BV5)+(ET5*10)</f>
        <v>0</v>
      </c>
      <c r="ET5" s="46">
        <f aca="true" t="shared" si="3" ref="ET5:ET24">COUNTIF(AM5:BV5,"x")</f>
        <v>0</v>
      </c>
      <c r="EU5" s="45">
        <f aca="true" t="shared" si="4" ref="EU5:EU24">SUM(BW5:DF5)+(EV5*10)</f>
        <v>0</v>
      </c>
      <c r="EV5" s="46">
        <f aca="true" t="shared" si="5" ref="EV5:EV24">COUNTIF(BW5:DF5,"x")</f>
        <v>0</v>
      </c>
      <c r="EW5" s="45">
        <f>SUM(DG5:EP5)+(EX5*10)</f>
        <v>0</v>
      </c>
      <c r="EX5" s="46">
        <f>COUNTIF(DG5:EP5,"x")</f>
        <v>0</v>
      </c>
      <c r="EY5" s="47">
        <f aca="true" t="shared" si="6" ref="EY5:EY24">ER5+ET5+EV5+EX5</f>
        <v>0</v>
      </c>
      <c r="EZ5" s="45">
        <f>COUNTA(C5:EP5)-COUNTIF(C5:EP5,"m")</f>
        <v>0</v>
      </c>
      <c r="FA5" s="48">
        <f>COUNTIF(C5:EP5,10)+FB5</f>
        <v>0</v>
      </c>
      <c r="FB5" s="83">
        <f>COUNTIF(C5:EP5,"x")</f>
        <v>0</v>
      </c>
      <c r="FC5" s="84">
        <v>1291</v>
      </c>
      <c r="FD5" s="49">
        <v>330</v>
      </c>
      <c r="FE5" s="50">
        <v>327</v>
      </c>
      <c r="FF5" s="50">
        <v>333</v>
      </c>
      <c r="FG5" s="48">
        <v>323</v>
      </c>
      <c r="FH5" s="144">
        <f aca="true" t="shared" si="7" ref="FH5:FH24">SUM(FD5,FE5,FF5,FG5)</f>
        <v>1313</v>
      </c>
      <c r="FI5" s="45">
        <f>SUM(FC5:FG5)</f>
        <v>2604</v>
      </c>
      <c r="FJ5" s="59">
        <f aca="true" t="shared" si="8" ref="FJ5:FJ24">IF(FI5=0,"",RANK(FQ5,$FQ$5:$FQ$24))</f>
        <v>1</v>
      </c>
      <c r="FK5" s="53"/>
      <c r="FL5" s="51"/>
      <c r="FM5" s="51"/>
      <c r="FN5" s="54"/>
      <c r="FO5" s="220" t="s">
        <v>303</v>
      </c>
      <c r="FP5" s="53"/>
      <c r="FQ5" s="86">
        <f aca="true" t="shared" si="9" ref="FQ5:FQ24">INT(CONCATENATE(FI5+1000,FK5+100,FL5+100,FM5+10))</f>
        <v>360410010010</v>
      </c>
    </row>
    <row r="6" spans="1:173" ht="79.5" customHeight="1" thickBot="1">
      <c r="A6" s="77" t="s">
        <v>62</v>
      </c>
      <c r="B6" s="73" t="s">
        <v>101</v>
      </c>
      <c r="C6" s="55"/>
      <c r="D6" s="56"/>
      <c r="E6" s="56"/>
      <c r="F6" s="56"/>
      <c r="G6" s="56"/>
      <c r="H6" s="57"/>
      <c r="I6" s="55"/>
      <c r="J6" s="56"/>
      <c r="K6" s="56"/>
      <c r="L6" s="56"/>
      <c r="M6" s="56"/>
      <c r="N6" s="57"/>
      <c r="O6" s="55"/>
      <c r="P6" s="56"/>
      <c r="Q6" s="56"/>
      <c r="R6" s="56"/>
      <c r="S6" s="56"/>
      <c r="T6" s="57"/>
      <c r="U6" s="55"/>
      <c r="V6" s="56"/>
      <c r="W6" s="56"/>
      <c r="X6" s="56"/>
      <c r="Y6" s="56"/>
      <c r="Z6" s="57"/>
      <c r="AA6" s="55"/>
      <c r="AB6" s="56"/>
      <c r="AC6" s="56"/>
      <c r="AD6" s="56"/>
      <c r="AE6" s="56"/>
      <c r="AF6" s="57"/>
      <c r="AG6" s="55"/>
      <c r="AH6" s="56"/>
      <c r="AI6" s="56"/>
      <c r="AJ6" s="56"/>
      <c r="AK6" s="56"/>
      <c r="AL6" s="57"/>
      <c r="AM6" s="55"/>
      <c r="AN6" s="56"/>
      <c r="AO6" s="56"/>
      <c r="AP6" s="56"/>
      <c r="AQ6" s="56"/>
      <c r="AR6" s="57"/>
      <c r="AS6" s="55"/>
      <c r="AT6" s="56"/>
      <c r="AU6" s="56"/>
      <c r="AV6" s="56"/>
      <c r="AW6" s="56"/>
      <c r="AX6" s="57"/>
      <c r="AY6" s="55"/>
      <c r="AZ6" s="56"/>
      <c r="BA6" s="56"/>
      <c r="BB6" s="56"/>
      <c r="BC6" s="56"/>
      <c r="BD6" s="57"/>
      <c r="BE6" s="55"/>
      <c r="BF6" s="56"/>
      <c r="BG6" s="56"/>
      <c r="BH6" s="56"/>
      <c r="BI6" s="56"/>
      <c r="BJ6" s="57"/>
      <c r="BK6" s="55"/>
      <c r="BL6" s="56"/>
      <c r="BM6" s="56"/>
      <c r="BN6" s="56"/>
      <c r="BO6" s="56"/>
      <c r="BP6" s="57"/>
      <c r="BQ6" s="55"/>
      <c r="BR6" s="56"/>
      <c r="BS6" s="56"/>
      <c r="BT6" s="56"/>
      <c r="BU6" s="56"/>
      <c r="BV6" s="57"/>
      <c r="BW6" s="55"/>
      <c r="BX6" s="56"/>
      <c r="BY6" s="56"/>
      <c r="BZ6" s="56"/>
      <c r="CA6" s="56"/>
      <c r="CB6" s="57"/>
      <c r="CC6" s="55"/>
      <c r="CD6" s="56"/>
      <c r="CE6" s="56"/>
      <c r="CF6" s="56"/>
      <c r="CG6" s="56"/>
      <c r="CH6" s="57"/>
      <c r="CI6" s="55"/>
      <c r="CJ6" s="56"/>
      <c r="CK6" s="56"/>
      <c r="CL6" s="56"/>
      <c r="CM6" s="56"/>
      <c r="CN6" s="57"/>
      <c r="CO6" s="55"/>
      <c r="CP6" s="56"/>
      <c r="CQ6" s="56"/>
      <c r="CR6" s="56"/>
      <c r="CS6" s="56"/>
      <c r="CT6" s="57"/>
      <c r="CU6" s="55"/>
      <c r="CV6" s="56"/>
      <c r="CW6" s="56"/>
      <c r="CX6" s="56"/>
      <c r="CY6" s="56"/>
      <c r="CZ6" s="57"/>
      <c r="DA6" s="55"/>
      <c r="DB6" s="56"/>
      <c r="DC6" s="56"/>
      <c r="DD6" s="56"/>
      <c r="DE6" s="56"/>
      <c r="DF6" s="57"/>
      <c r="DG6" s="55"/>
      <c r="DH6" s="56"/>
      <c r="DI6" s="56"/>
      <c r="DJ6" s="56"/>
      <c r="DK6" s="56"/>
      <c r="DL6" s="57"/>
      <c r="DM6" s="55"/>
      <c r="DN6" s="56"/>
      <c r="DO6" s="56"/>
      <c r="DP6" s="56"/>
      <c r="DQ6" s="56"/>
      <c r="DR6" s="57"/>
      <c r="DS6" s="55"/>
      <c r="DT6" s="56"/>
      <c r="DU6" s="56"/>
      <c r="DV6" s="56"/>
      <c r="DW6" s="56"/>
      <c r="DX6" s="57"/>
      <c r="DY6" s="55"/>
      <c r="DZ6" s="56"/>
      <c r="EA6" s="56"/>
      <c r="EB6" s="56"/>
      <c r="EC6" s="56"/>
      <c r="ED6" s="57"/>
      <c r="EE6" s="55"/>
      <c r="EF6" s="56"/>
      <c r="EG6" s="56"/>
      <c r="EH6" s="56"/>
      <c r="EI6" s="56"/>
      <c r="EJ6" s="57"/>
      <c r="EK6" s="55"/>
      <c r="EL6" s="56"/>
      <c r="EM6" s="56"/>
      <c r="EN6" s="56"/>
      <c r="EO6" s="56"/>
      <c r="EP6" s="57"/>
      <c r="EQ6" s="58">
        <f t="shared" si="0"/>
        <v>0</v>
      </c>
      <c r="ER6" s="59">
        <f t="shared" si="1"/>
        <v>0</v>
      </c>
      <c r="ES6" s="58">
        <f t="shared" si="2"/>
        <v>0</v>
      </c>
      <c r="ET6" s="59">
        <f t="shared" si="3"/>
        <v>0</v>
      </c>
      <c r="EU6" s="58">
        <f t="shared" si="4"/>
        <v>0</v>
      </c>
      <c r="EV6" s="59">
        <f t="shared" si="5"/>
        <v>0</v>
      </c>
      <c r="EW6" s="58">
        <f>SUM(DG6:EP6)+(EX6*10)</f>
        <v>0</v>
      </c>
      <c r="EX6" s="59">
        <f>COUNTIF(DG6:EP6,"x")</f>
        <v>0</v>
      </c>
      <c r="EY6" s="60">
        <f t="shared" si="6"/>
        <v>0</v>
      </c>
      <c r="EZ6" s="58">
        <f>COUNTA(C6:EP6)-COUNTIF(C6:EP6,"m")</f>
        <v>0</v>
      </c>
      <c r="FA6" s="61">
        <f>COUNTIF(C6:EP6,10)+FB6</f>
        <v>0</v>
      </c>
      <c r="FB6" s="63">
        <f>COUNTIF(C6:EP6,"x")</f>
        <v>0</v>
      </c>
      <c r="FC6" s="84">
        <v>1270</v>
      </c>
      <c r="FD6" s="49">
        <v>323</v>
      </c>
      <c r="FE6" s="50">
        <v>330</v>
      </c>
      <c r="FF6" s="50">
        <v>335</v>
      </c>
      <c r="FG6" s="50">
        <v>329</v>
      </c>
      <c r="FH6" s="53">
        <f t="shared" si="7"/>
        <v>1317</v>
      </c>
      <c r="FI6" s="45">
        <f>SUM(FC6:FG6)</f>
        <v>2587</v>
      </c>
      <c r="FJ6" s="59">
        <f t="shared" si="8"/>
        <v>2</v>
      </c>
      <c r="FK6" s="62"/>
      <c r="FL6" s="63"/>
      <c r="FM6" s="63"/>
      <c r="FN6" s="59"/>
      <c r="FO6" s="219" t="s">
        <v>306</v>
      </c>
      <c r="FP6" s="53"/>
      <c r="FQ6" s="86">
        <f t="shared" si="9"/>
        <v>358710010010</v>
      </c>
    </row>
    <row r="7" spans="1:173" ht="20.25" thickBot="1">
      <c r="A7" s="76" t="s">
        <v>60</v>
      </c>
      <c r="B7" s="73" t="s">
        <v>80</v>
      </c>
      <c r="C7" s="55"/>
      <c r="D7" s="56"/>
      <c r="E7" s="56"/>
      <c r="F7" s="56"/>
      <c r="G7" s="56"/>
      <c r="H7" s="57"/>
      <c r="I7" s="55"/>
      <c r="J7" s="56"/>
      <c r="K7" s="56"/>
      <c r="L7" s="56"/>
      <c r="M7" s="56"/>
      <c r="N7" s="57"/>
      <c r="O7" s="55"/>
      <c r="P7" s="56"/>
      <c r="Q7" s="56"/>
      <c r="R7" s="56"/>
      <c r="S7" s="56"/>
      <c r="T7" s="57"/>
      <c r="U7" s="55"/>
      <c r="V7" s="56"/>
      <c r="W7" s="56"/>
      <c r="X7" s="56"/>
      <c r="Y7" s="56"/>
      <c r="Z7" s="57"/>
      <c r="AA7" s="55"/>
      <c r="AB7" s="56"/>
      <c r="AC7" s="56"/>
      <c r="AD7" s="56"/>
      <c r="AE7" s="56"/>
      <c r="AF7" s="57"/>
      <c r="AG7" s="55"/>
      <c r="AH7" s="56"/>
      <c r="AI7" s="56"/>
      <c r="AJ7" s="56"/>
      <c r="AK7" s="56"/>
      <c r="AL7" s="57"/>
      <c r="AM7" s="55"/>
      <c r="AN7" s="56"/>
      <c r="AO7" s="56"/>
      <c r="AP7" s="56"/>
      <c r="AQ7" s="56"/>
      <c r="AR7" s="57"/>
      <c r="AS7" s="55"/>
      <c r="AT7" s="56"/>
      <c r="AU7" s="56"/>
      <c r="AV7" s="56"/>
      <c r="AW7" s="56"/>
      <c r="AX7" s="57"/>
      <c r="AY7" s="55"/>
      <c r="AZ7" s="56"/>
      <c r="BA7" s="56"/>
      <c r="BB7" s="56"/>
      <c r="BC7" s="56"/>
      <c r="BD7" s="57"/>
      <c r="BE7" s="55"/>
      <c r="BF7" s="56"/>
      <c r="BG7" s="56"/>
      <c r="BH7" s="56"/>
      <c r="BI7" s="56"/>
      <c r="BJ7" s="57"/>
      <c r="BK7" s="55"/>
      <c r="BL7" s="56"/>
      <c r="BM7" s="56"/>
      <c r="BN7" s="56"/>
      <c r="BO7" s="56"/>
      <c r="BP7" s="57"/>
      <c r="BQ7" s="55"/>
      <c r="BR7" s="56"/>
      <c r="BS7" s="56"/>
      <c r="BT7" s="56"/>
      <c r="BU7" s="56"/>
      <c r="BV7" s="57"/>
      <c r="BW7" s="55"/>
      <c r="BX7" s="56"/>
      <c r="BY7" s="56"/>
      <c r="BZ7" s="56"/>
      <c r="CA7" s="56"/>
      <c r="CB7" s="57"/>
      <c r="CC7" s="55"/>
      <c r="CD7" s="56"/>
      <c r="CE7" s="56"/>
      <c r="CF7" s="56"/>
      <c r="CG7" s="56"/>
      <c r="CH7" s="57"/>
      <c r="CI7" s="55"/>
      <c r="CJ7" s="56"/>
      <c r="CK7" s="56"/>
      <c r="CL7" s="56"/>
      <c r="CM7" s="56"/>
      <c r="CN7" s="57"/>
      <c r="CO7" s="55"/>
      <c r="CP7" s="56"/>
      <c r="CQ7" s="56"/>
      <c r="CR7" s="56"/>
      <c r="CS7" s="56"/>
      <c r="CT7" s="57"/>
      <c r="CU7" s="55"/>
      <c r="CV7" s="56"/>
      <c r="CW7" s="56"/>
      <c r="CX7" s="56"/>
      <c r="CY7" s="56"/>
      <c r="CZ7" s="57"/>
      <c r="DA7" s="55"/>
      <c r="DB7" s="56"/>
      <c r="DC7" s="56"/>
      <c r="DD7" s="56"/>
      <c r="DE7" s="56"/>
      <c r="DF7" s="57"/>
      <c r="DG7" s="55"/>
      <c r="DH7" s="56"/>
      <c r="DI7" s="56"/>
      <c r="DJ7" s="56"/>
      <c r="DK7" s="56"/>
      <c r="DL7" s="57"/>
      <c r="DM7" s="55"/>
      <c r="DN7" s="56"/>
      <c r="DO7" s="56"/>
      <c r="DP7" s="56"/>
      <c r="DQ7" s="56"/>
      <c r="DR7" s="57"/>
      <c r="DS7" s="55"/>
      <c r="DT7" s="56"/>
      <c r="DU7" s="56"/>
      <c r="DV7" s="56"/>
      <c r="DW7" s="56"/>
      <c r="DX7" s="57"/>
      <c r="DY7" s="55"/>
      <c r="DZ7" s="56"/>
      <c r="EA7" s="56"/>
      <c r="EB7" s="56"/>
      <c r="EC7" s="56"/>
      <c r="ED7" s="57"/>
      <c r="EE7" s="55"/>
      <c r="EF7" s="56"/>
      <c r="EG7" s="56"/>
      <c r="EH7" s="56"/>
      <c r="EI7" s="56"/>
      <c r="EJ7" s="57"/>
      <c r="EK7" s="55"/>
      <c r="EL7" s="56"/>
      <c r="EM7" s="56"/>
      <c r="EN7" s="56"/>
      <c r="EO7" s="56"/>
      <c r="EP7" s="57"/>
      <c r="EQ7" s="58">
        <f t="shared" si="0"/>
        <v>0</v>
      </c>
      <c r="ER7" s="59">
        <f t="shared" si="1"/>
        <v>0</v>
      </c>
      <c r="ES7" s="58">
        <f t="shared" si="2"/>
        <v>0</v>
      </c>
      <c r="ET7" s="59">
        <f t="shared" si="3"/>
        <v>0</v>
      </c>
      <c r="EU7" s="58">
        <f t="shared" si="4"/>
        <v>0</v>
      </c>
      <c r="EV7" s="59">
        <f t="shared" si="5"/>
        <v>0</v>
      </c>
      <c r="EW7" s="58">
        <f>SUM(DG7:EP7)+(EX7*10)</f>
        <v>0</v>
      </c>
      <c r="EX7" s="59">
        <f>COUNTIF(DG7:EP7,"x")</f>
        <v>0</v>
      </c>
      <c r="EY7" s="60">
        <f t="shared" si="6"/>
        <v>0</v>
      </c>
      <c r="EZ7" s="58">
        <f>COUNTA(C7:EP7)-COUNTIF(C7:EP7,"m")</f>
        <v>0</v>
      </c>
      <c r="FA7" s="61">
        <f>COUNTIF(C7:EP7,10)+FB7</f>
        <v>0</v>
      </c>
      <c r="FB7" s="63">
        <f>COUNTIF(C7:EP7,"x")</f>
        <v>0</v>
      </c>
      <c r="FC7" s="84">
        <v>1294</v>
      </c>
      <c r="FD7" s="49">
        <v>318</v>
      </c>
      <c r="FE7" s="50">
        <v>313</v>
      </c>
      <c r="FF7" s="50">
        <v>321</v>
      </c>
      <c r="FG7" s="50">
        <v>316</v>
      </c>
      <c r="FH7" s="53">
        <f t="shared" si="7"/>
        <v>1268</v>
      </c>
      <c r="FI7" s="45">
        <f>SUM(FC7:FG7)</f>
        <v>2562</v>
      </c>
      <c r="FJ7" s="59">
        <f t="shared" si="8"/>
        <v>3</v>
      </c>
      <c r="FK7" s="62"/>
      <c r="FL7" s="63"/>
      <c r="FM7" s="63"/>
      <c r="FN7" s="59"/>
      <c r="FO7" s="60"/>
      <c r="FP7" s="53"/>
      <c r="FQ7" s="86">
        <f t="shared" si="9"/>
        <v>356210010010</v>
      </c>
    </row>
    <row r="8" spans="1:173" ht="20.25" thickBot="1">
      <c r="A8" s="76" t="s">
        <v>73</v>
      </c>
      <c r="B8" s="73" t="s">
        <v>92</v>
      </c>
      <c r="C8" s="55"/>
      <c r="D8" s="56"/>
      <c r="E8" s="56"/>
      <c r="F8" s="56"/>
      <c r="G8" s="56"/>
      <c r="H8" s="57"/>
      <c r="I8" s="55"/>
      <c r="J8" s="56"/>
      <c r="K8" s="56"/>
      <c r="L8" s="56"/>
      <c r="M8" s="56"/>
      <c r="N8" s="57"/>
      <c r="O8" s="55"/>
      <c r="P8" s="56"/>
      <c r="Q8" s="56"/>
      <c r="R8" s="56"/>
      <c r="S8" s="56"/>
      <c r="T8" s="57"/>
      <c r="U8" s="55"/>
      <c r="V8" s="56"/>
      <c r="W8" s="56"/>
      <c r="X8" s="56"/>
      <c r="Y8" s="56"/>
      <c r="Z8" s="57"/>
      <c r="AA8" s="55"/>
      <c r="AB8" s="56"/>
      <c r="AC8" s="56"/>
      <c r="AD8" s="56"/>
      <c r="AE8" s="56"/>
      <c r="AF8" s="57"/>
      <c r="AG8" s="55"/>
      <c r="AH8" s="56"/>
      <c r="AI8" s="56"/>
      <c r="AJ8" s="56"/>
      <c r="AK8" s="56"/>
      <c r="AL8" s="57"/>
      <c r="AM8" s="55"/>
      <c r="AN8" s="56"/>
      <c r="AO8" s="56"/>
      <c r="AP8" s="56"/>
      <c r="AQ8" s="56"/>
      <c r="AR8" s="57"/>
      <c r="AS8" s="55"/>
      <c r="AT8" s="56"/>
      <c r="AU8" s="56"/>
      <c r="AV8" s="56"/>
      <c r="AW8" s="56"/>
      <c r="AX8" s="57"/>
      <c r="AY8" s="55"/>
      <c r="AZ8" s="56"/>
      <c r="BA8" s="56"/>
      <c r="BB8" s="56"/>
      <c r="BC8" s="56"/>
      <c r="BD8" s="57"/>
      <c r="BE8" s="55"/>
      <c r="BF8" s="56"/>
      <c r="BG8" s="56"/>
      <c r="BH8" s="56"/>
      <c r="BI8" s="56"/>
      <c r="BJ8" s="57"/>
      <c r="BK8" s="55"/>
      <c r="BL8" s="56"/>
      <c r="BM8" s="56"/>
      <c r="BN8" s="56"/>
      <c r="BO8" s="56"/>
      <c r="BP8" s="57"/>
      <c r="BQ8" s="55"/>
      <c r="BR8" s="56"/>
      <c r="BS8" s="56"/>
      <c r="BT8" s="56"/>
      <c r="BU8" s="56"/>
      <c r="BV8" s="57"/>
      <c r="BW8" s="55"/>
      <c r="BX8" s="56"/>
      <c r="BY8" s="56"/>
      <c r="BZ8" s="56"/>
      <c r="CA8" s="56"/>
      <c r="CB8" s="57"/>
      <c r="CC8" s="55"/>
      <c r="CD8" s="56"/>
      <c r="CE8" s="56"/>
      <c r="CF8" s="56"/>
      <c r="CG8" s="56"/>
      <c r="CH8" s="57"/>
      <c r="CI8" s="55"/>
      <c r="CJ8" s="56"/>
      <c r="CK8" s="56"/>
      <c r="CL8" s="56"/>
      <c r="CM8" s="56"/>
      <c r="CN8" s="57"/>
      <c r="CO8" s="55"/>
      <c r="CP8" s="56"/>
      <c r="CQ8" s="56"/>
      <c r="CR8" s="56"/>
      <c r="CS8" s="56"/>
      <c r="CT8" s="57"/>
      <c r="CU8" s="55"/>
      <c r="CV8" s="56"/>
      <c r="CW8" s="56"/>
      <c r="CX8" s="56"/>
      <c r="CY8" s="56"/>
      <c r="CZ8" s="57"/>
      <c r="DA8" s="55"/>
      <c r="DB8" s="56"/>
      <c r="DC8" s="56"/>
      <c r="DD8" s="56"/>
      <c r="DE8" s="56"/>
      <c r="DF8" s="57"/>
      <c r="DG8" s="55"/>
      <c r="DH8" s="56"/>
      <c r="DI8" s="56"/>
      <c r="DJ8" s="56"/>
      <c r="DK8" s="56"/>
      <c r="DL8" s="57"/>
      <c r="DM8" s="55"/>
      <c r="DN8" s="56"/>
      <c r="DO8" s="56"/>
      <c r="DP8" s="56"/>
      <c r="DQ8" s="56"/>
      <c r="DR8" s="57"/>
      <c r="DS8" s="55"/>
      <c r="DT8" s="56"/>
      <c r="DU8" s="56"/>
      <c r="DV8" s="56"/>
      <c r="DW8" s="56"/>
      <c r="DX8" s="57"/>
      <c r="DY8" s="55"/>
      <c r="DZ8" s="56"/>
      <c r="EA8" s="56"/>
      <c r="EB8" s="56"/>
      <c r="EC8" s="56"/>
      <c r="ED8" s="57"/>
      <c r="EE8" s="55"/>
      <c r="EF8" s="56"/>
      <c r="EG8" s="56"/>
      <c r="EH8" s="56"/>
      <c r="EI8" s="56"/>
      <c r="EJ8" s="57"/>
      <c r="EK8" s="55"/>
      <c r="EL8" s="56"/>
      <c r="EM8" s="56"/>
      <c r="EN8" s="56"/>
      <c r="EO8" s="56"/>
      <c r="EP8" s="57"/>
      <c r="EQ8" s="58">
        <f t="shared" si="0"/>
        <v>0</v>
      </c>
      <c r="ER8" s="59">
        <f t="shared" si="1"/>
        <v>0</v>
      </c>
      <c r="ES8" s="58">
        <f t="shared" si="2"/>
        <v>0</v>
      </c>
      <c r="ET8" s="59">
        <f t="shared" si="3"/>
        <v>0</v>
      </c>
      <c r="EU8" s="58">
        <f t="shared" si="4"/>
        <v>0</v>
      </c>
      <c r="EV8" s="59">
        <f t="shared" si="5"/>
        <v>0</v>
      </c>
      <c r="EW8" s="58">
        <f>SUM(DG8:EP8)+(EX8*10)</f>
        <v>0</v>
      </c>
      <c r="EX8" s="59">
        <f>COUNTIF(DG8:EP8,"x")</f>
        <v>0</v>
      </c>
      <c r="EY8" s="60">
        <f t="shared" si="6"/>
        <v>0</v>
      </c>
      <c r="EZ8" s="58">
        <f>COUNTA(C8:EP8)-COUNTIF(C8:EP8,"m")</f>
        <v>0</v>
      </c>
      <c r="FA8" s="61">
        <f>COUNTIF(C8:EP8,10)+FB8</f>
        <v>0</v>
      </c>
      <c r="FB8" s="63">
        <f>COUNTIF(C8:EP8,"x")</f>
        <v>0</v>
      </c>
      <c r="FC8" s="84">
        <v>1277</v>
      </c>
      <c r="FD8" s="49">
        <v>312</v>
      </c>
      <c r="FE8" s="50">
        <v>325</v>
      </c>
      <c r="FF8" s="50">
        <v>331</v>
      </c>
      <c r="FG8" s="50">
        <v>313</v>
      </c>
      <c r="FH8" s="53">
        <f t="shared" si="7"/>
        <v>1281</v>
      </c>
      <c r="FI8" s="45">
        <f>SUM(FC8:FG8)</f>
        <v>2558</v>
      </c>
      <c r="FJ8" s="59">
        <f t="shared" si="8"/>
        <v>4</v>
      </c>
      <c r="FK8" s="62"/>
      <c r="FL8" s="63"/>
      <c r="FM8" s="63"/>
      <c r="FN8" s="59"/>
      <c r="FO8" s="60"/>
      <c r="FP8" s="53"/>
      <c r="FQ8" s="86">
        <f t="shared" si="9"/>
        <v>355810010010</v>
      </c>
    </row>
    <row r="9" spans="1:173" ht="20.25" thickBot="1">
      <c r="A9" s="77" t="s">
        <v>74</v>
      </c>
      <c r="B9" s="73" t="s">
        <v>93</v>
      </c>
      <c r="C9" s="55"/>
      <c r="D9" s="56"/>
      <c r="E9" s="56"/>
      <c r="F9" s="56"/>
      <c r="G9" s="56"/>
      <c r="H9" s="57"/>
      <c r="I9" s="55"/>
      <c r="J9" s="56"/>
      <c r="K9" s="56"/>
      <c r="L9" s="56"/>
      <c r="M9" s="56"/>
      <c r="N9" s="57"/>
      <c r="O9" s="55"/>
      <c r="P9" s="56"/>
      <c r="Q9" s="56"/>
      <c r="R9" s="56"/>
      <c r="S9" s="56"/>
      <c r="T9" s="57"/>
      <c r="U9" s="55"/>
      <c r="V9" s="56"/>
      <c r="W9" s="56"/>
      <c r="X9" s="56"/>
      <c r="Y9" s="56"/>
      <c r="Z9" s="57"/>
      <c r="AA9" s="55"/>
      <c r="AB9" s="56"/>
      <c r="AC9" s="56"/>
      <c r="AD9" s="56"/>
      <c r="AE9" s="56"/>
      <c r="AF9" s="57"/>
      <c r="AG9" s="55"/>
      <c r="AH9" s="56"/>
      <c r="AI9" s="56"/>
      <c r="AJ9" s="56"/>
      <c r="AK9" s="56"/>
      <c r="AL9" s="57"/>
      <c r="AM9" s="55"/>
      <c r="AN9" s="56"/>
      <c r="AO9" s="56"/>
      <c r="AP9" s="56"/>
      <c r="AQ9" s="56"/>
      <c r="AR9" s="57"/>
      <c r="AS9" s="55"/>
      <c r="AT9" s="56"/>
      <c r="AU9" s="56"/>
      <c r="AV9" s="56"/>
      <c r="AW9" s="56"/>
      <c r="AX9" s="57"/>
      <c r="AY9" s="55"/>
      <c r="AZ9" s="56"/>
      <c r="BA9" s="56"/>
      <c r="BB9" s="56"/>
      <c r="BC9" s="56"/>
      <c r="BD9" s="57"/>
      <c r="BE9" s="55"/>
      <c r="BF9" s="56"/>
      <c r="BG9" s="56"/>
      <c r="BH9" s="56"/>
      <c r="BI9" s="56"/>
      <c r="BJ9" s="57"/>
      <c r="BK9" s="55"/>
      <c r="BL9" s="56"/>
      <c r="BM9" s="56"/>
      <c r="BN9" s="56"/>
      <c r="BO9" s="56"/>
      <c r="BP9" s="57"/>
      <c r="BQ9" s="55"/>
      <c r="BR9" s="56"/>
      <c r="BS9" s="56"/>
      <c r="BT9" s="56"/>
      <c r="BU9" s="56"/>
      <c r="BV9" s="57"/>
      <c r="BW9" s="55"/>
      <c r="BX9" s="56"/>
      <c r="BY9" s="56"/>
      <c r="BZ9" s="56"/>
      <c r="CA9" s="56"/>
      <c r="CB9" s="57"/>
      <c r="CC9" s="55"/>
      <c r="CD9" s="56"/>
      <c r="CE9" s="56"/>
      <c r="CF9" s="56"/>
      <c r="CG9" s="56"/>
      <c r="CH9" s="57"/>
      <c r="CI9" s="55"/>
      <c r="CJ9" s="56"/>
      <c r="CK9" s="56"/>
      <c r="CL9" s="56"/>
      <c r="CM9" s="56"/>
      <c r="CN9" s="57"/>
      <c r="CO9" s="55"/>
      <c r="CP9" s="56"/>
      <c r="CQ9" s="56"/>
      <c r="CR9" s="56"/>
      <c r="CS9" s="56"/>
      <c r="CT9" s="57"/>
      <c r="CU9" s="55"/>
      <c r="CV9" s="56"/>
      <c r="CW9" s="56"/>
      <c r="CX9" s="56"/>
      <c r="CY9" s="56"/>
      <c r="CZ9" s="57"/>
      <c r="DA9" s="55"/>
      <c r="DB9" s="56"/>
      <c r="DC9" s="56"/>
      <c r="DD9" s="56"/>
      <c r="DE9" s="56"/>
      <c r="DF9" s="57"/>
      <c r="DG9" s="55"/>
      <c r="DH9" s="56"/>
      <c r="DI9" s="56"/>
      <c r="DJ9" s="56"/>
      <c r="DK9" s="56"/>
      <c r="DL9" s="57"/>
      <c r="DM9" s="55"/>
      <c r="DN9" s="56"/>
      <c r="DO9" s="56"/>
      <c r="DP9" s="56"/>
      <c r="DQ9" s="56"/>
      <c r="DR9" s="57"/>
      <c r="DS9" s="55"/>
      <c r="DT9" s="56"/>
      <c r="DU9" s="56"/>
      <c r="DV9" s="56"/>
      <c r="DW9" s="56"/>
      <c r="DX9" s="57"/>
      <c r="DY9" s="55"/>
      <c r="DZ9" s="56"/>
      <c r="EA9" s="56"/>
      <c r="EB9" s="56"/>
      <c r="EC9" s="56"/>
      <c r="ED9" s="57"/>
      <c r="EE9" s="55"/>
      <c r="EF9" s="56"/>
      <c r="EG9" s="56"/>
      <c r="EH9" s="56"/>
      <c r="EI9" s="56"/>
      <c r="EJ9" s="57"/>
      <c r="EK9" s="55"/>
      <c r="EL9" s="56"/>
      <c r="EM9" s="56"/>
      <c r="EN9" s="56"/>
      <c r="EO9" s="56"/>
      <c r="EP9" s="57"/>
      <c r="EQ9" s="58">
        <f t="shared" si="0"/>
        <v>0</v>
      </c>
      <c r="ER9" s="59">
        <f t="shared" si="1"/>
        <v>0</v>
      </c>
      <c r="ES9" s="58">
        <f t="shared" si="2"/>
        <v>0</v>
      </c>
      <c r="ET9" s="59">
        <f t="shared" si="3"/>
        <v>0</v>
      </c>
      <c r="EU9" s="58">
        <f t="shared" si="4"/>
        <v>0</v>
      </c>
      <c r="EV9" s="59">
        <f t="shared" si="5"/>
        <v>0</v>
      </c>
      <c r="EW9" s="58">
        <f>SUM(DG9:EP9)+(EX9*10)</f>
        <v>0</v>
      </c>
      <c r="EX9" s="59">
        <f>COUNTIF(DG9:EP9,"x")</f>
        <v>0</v>
      </c>
      <c r="EY9" s="60">
        <f t="shared" si="6"/>
        <v>0</v>
      </c>
      <c r="EZ9" s="58">
        <f>COUNTA(C9:EP9)-COUNTIF(C9:EP9,"m")</f>
        <v>0</v>
      </c>
      <c r="FA9" s="61">
        <f>COUNTIF(C9:EP9,10)+FB9</f>
        <v>0</v>
      </c>
      <c r="FB9" s="63">
        <f>COUNTIF(C9:EP9,"x")</f>
        <v>0</v>
      </c>
      <c r="FC9" s="84">
        <v>1261</v>
      </c>
      <c r="FD9" s="49">
        <v>318</v>
      </c>
      <c r="FE9" s="50">
        <v>313</v>
      </c>
      <c r="FF9" s="50">
        <v>302</v>
      </c>
      <c r="FG9" s="50">
        <v>309</v>
      </c>
      <c r="FH9" s="53">
        <f t="shared" si="7"/>
        <v>1242</v>
      </c>
      <c r="FI9" s="45">
        <f>SUM(FC9:FG9)</f>
        <v>2503</v>
      </c>
      <c r="FJ9" s="59">
        <f t="shared" si="8"/>
        <v>5</v>
      </c>
      <c r="FK9" s="62"/>
      <c r="FL9" s="63"/>
      <c r="FM9" s="63"/>
      <c r="FN9" s="59"/>
      <c r="FO9" s="60"/>
      <c r="FP9" s="53"/>
      <c r="FQ9" s="86">
        <f t="shared" si="9"/>
        <v>350310010010</v>
      </c>
    </row>
    <row r="10" spans="1:173" ht="20.25" thickBot="1">
      <c r="A10" s="76" t="s">
        <v>61</v>
      </c>
      <c r="B10" s="73" t="s">
        <v>81</v>
      </c>
      <c r="C10" s="55"/>
      <c r="D10" s="56"/>
      <c r="E10" s="56"/>
      <c r="F10" s="56"/>
      <c r="G10" s="56"/>
      <c r="H10" s="57"/>
      <c r="I10" s="55"/>
      <c r="J10" s="56"/>
      <c r="K10" s="56"/>
      <c r="L10" s="56"/>
      <c r="M10" s="56"/>
      <c r="N10" s="57"/>
      <c r="O10" s="55"/>
      <c r="P10" s="56"/>
      <c r="Q10" s="56"/>
      <c r="R10" s="56"/>
      <c r="S10" s="56"/>
      <c r="T10" s="57"/>
      <c r="U10" s="55"/>
      <c r="V10" s="56"/>
      <c r="W10" s="56"/>
      <c r="X10" s="56"/>
      <c r="Y10" s="56"/>
      <c r="Z10" s="57"/>
      <c r="AA10" s="55"/>
      <c r="AB10" s="56"/>
      <c r="AC10" s="56"/>
      <c r="AD10" s="56"/>
      <c r="AE10" s="56"/>
      <c r="AF10" s="57"/>
      <c r="AG10" s="55"/>
      <c r="AH10" s="56"/>
      <c r="AI10" s="56"/>
      <c r="AJ10" s="56"/>
      <c r="AK10" s="56"/>
      <c r="AL10" s="57"/>
      <c r="AM10" s="55"/>
      <c r="AN10" s="56"/>
      <c r="AO10" s="56"/>
      <c r="AP10" s="56"/>
      <c r="AQ10" s="56"/>
      <c r="AR10" s="57"/>
      <c r="AS10" s="55"/>
      <c r="AT10" s="56"/>
      <c r="AU10" s="56"/>
      <c r="AV10" s="56"/>
      <c r="AW10" s="56"/>
      <c r="AX10" s="57"/>
      <c r="AY10" s="55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7"/>
      <c r="BK10" s="55"/>
      <c r="BL10" s="56"/>
      <c r="BM10" s="56"/>
      <c r="BN10" s="56"/>
      <c r="BO10" s="56"/>
      <c r="BP10" s="57"/>
      <c r="BQ10" s="55"/>
      <c r="BR10" s="56"/>
      <c r="BS10" s="56"/>
      <c r="BT10" s="56"/>
      <c r="BU10" s="56"/>
      <c r="BV10" s="57"/>
      <c r="BW10" s="55"/>
      <c r="BX10" s="56"/>
      <c r="BY10" s="56"/>
      <c r="BZ10" s="56"/>
      <c r="CA10" s="56"/>
      <c r="CB10" s="57"/>
      <c r="CC10" s="55"/>
      <c r="CD10" s="56"/>
      <c r="CE10" s="56"/>
      <c r="CF10" s="56"/>
      <c r="CG10" s="56"/>
      <c r="CH10" s="57"/>
      <c r="CI10" s="55"/>
      <c r="CJ10" s="56"/>
      <c r="CK10" s="56"/>
      <c r="CL10" s="56"/>
      <c r="CM10" s="56"/>
      <c r="CN10" s="57"/>
      <c r="CO10" s="55"/>
      <c r="CP10" s="56"/>
      <c r="CQ10" s="56"/>
      <c r="CR10" s="56"/>
      <c r="CS10" s="56"/>
      <c r="CT10" s="57"/>
      <c r="CU10" s="55"/>
      <c r="CV10" s="56"/>
      <c r="CW10" s="56"/>
      <c r="CX10" s="56"/>
      <c r="CY10" s="56"/>
      <c r="CZ10" s="57"/>
      <c r="DA10" s="55"/>
      <c r="DB10" s="56"/>
      <c r="DC10" s="56"/>
      <c r="DD10" s="56"/>
      <c r="DE10" s="56"/>
      <c r="DF10" s="57"/>
      <c r="DG10" s="55"/>
      <c r="DH10" s="56"/>
      <c r="DI10" s="56"/>
      <c r="DJ10" s="56"/>
      <c r="DK10" s="56"/>
      <c r="DL10" s="57"/>
      <c r="DM10" s="55"/>
      <c r="DN10" s="56"/>
      <c r="DO10" s="56"/>
      <c r="DP10" s="56"/>
      <c r="DQ10" s="56"/>
      <c r="DR10" s="57"/>
      <c r="DS10" s="55"/>
      <c r="DT10" s="56"/>
      <c r="DU10" s="56"/>
      <c r="DV10" s="56"/>
      <c r="DW10" s="56"/>
      <c r="DX10" s="57"/>
      <c r="DY10" s="55"/>
      <c r="DZ10" s="56"/>
      <c r="EA10" s="56"/>
      <c r="EB10" s="56"/>
      <c r="EC10" s="56"/>
      <c r="ED10" s="57"/>
      <c r="EE10" s="55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7"/>
      <c r="EQ10" s="58">
        <f t="shared" si="0"/>
        <v>0</v>
      </c>
      <c r="ER10" s="59">
        <f t="shared" si="1"/>
        <v>0</v>
      </c>
      <c r="ES10" s="58">
        <f t="shared" si="2"/>
        <v>0</v>
      </c>
      <c r="ET10" s="59">
        <f t="shared" si="3"/>
        <v>0</v>
      </c>
      <c r="EU10" s="58">
        <f t="shared" si="4"/>
        <v>0</v>
      </c>
      <c r="EV10" s="59">
        <f t="shared" si="5"/>
        <v>0</v>
      </c>
      <c r="EW10" s="58">
        <f>SUM(DG10:EP10)+(EX10*10)</f>
        <v>0</v>
      </c>
      <c r="EX10" s="59">
        <f>COUNTIF(DG10:EP10,"x")</f>
        <v>0</v>
      </c>
      <c r="EY10" s="60">
        <f t="shared" si="6"/>
        <v>0</v>
      </c>
      <c r="EZ10" s="58">
        <f>COUNTA(C10:EP10)-COUNTIF(C10:EP10,"m")</f>
        <v>0</v>
      </c>
      <c r="FA10" s="61">
        <f>COUNTIF(C10:EP10,10)+FB10</f>
        <v>0</v>
      </c>
      <c r="FB10" s="63">
        <f>COUNTIF(C10:EP10,"x")</f>
        <v>0</v>
      </c>
      <c r="FC10" s="84">
        <v>1252</v>
      </c>
      <c r="FD10" s="49">
        <v>307</v>
      </c>
      <c r="FE10" s="50">
        <v>316</v>
      </c>
      <c r="FF10" s="50">
        <v>312</v>
      </c>
      <c r="FG10" s="50">
        <v>310</v>
      </c>
      <c r="FH10" s="53">
        <f t="shared" si="7"/>
        <v>1245</v>
      </c>
      <c r="FI10" s="45">
        <f>SUM(FC10:FG10)</f>
        <v>2497</v>
      </c>
      <c r="FJ10" s="59">
        <f t="shared" si="8"/>
        <v>6</v>
      </c>
      <c r="FK10" s="62"/>
      <c r="FL10" s="63"/>
      <c r="FM10" s="63"/>
      <c r="FN10" s="59"/>
      <c r="FO10" s="60"/>
      <c r="FP10" s="53"/>
      <c r="FQ10" s="86">
        <f t="shared" si="9"/>
        <v>349710010010</v>
      </c>
    </row>
    <row r="11" spans="1:173" ht="20.25" thickBot="1">
      <c r="A11" s="76" t="s">
        <v>72</v>
      </c>
      <c r="B11" s="73" t="s">
        <v>91</v>
      </c>
      <c r="C11" s="55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7"/>
      <c r="O11" s="55"/>
      <c r="P11" s="56"/>
      <c r="Q11" s="56"/>
      <c r="R11" s="56"/>
      <c r="S11" s="56"/>
      <c r="T11" s="57"/>
      <c r="U11" s="55"/>
      <c r="V11" s="56"/>
      <c r="W11" s="56"/>
      <c r="X11" s="56"/>
      <c r="Y11" s="56"/>
      <c r="Z11" s="57"/>
      <c r="AA11" s="55"/>
      <c r="AB11" s="56"/>
      <c r="AC11" s="56"/>
      <c r="AD11" s="56"/>
      <c r="AE11" s="56"/>
      <c r="AF11" s="57"/>
      <c r="AG11" s="55"/>
      <c r="AH11" s="56"/>
      <c r="AI11" s="56"/>
      <c r="AJ11" s="56"/>
      <c r="AK11" s="56"/>
      <c r="AL11" s="57"/>
      <c r="AM11" s="55"/>
      <c r="AN11" s="56"/>
      <c r="AO11" s="56"/>
      <c r="AP11" s="56"/>
      <c r="AQ11" s="56"/>
      <c r="AR11" s="57"/>
      <c r="AS11" s="55"/>
      <c r="AT11" s="56"/>
      <c r="AU11" s="56"/>
      <c r="AV11" s="56"/>
      <c r="AW11" s="56"/>
      <c r="AX11" s="57"/>
      <c r="AY11" s="55"/>
      <c r="AZ11" s="56"/>
      <c r="BA11" s="56"/>
      <c r="BB11" s="56"/>
      <c r="BC11" s="56"/>
      <c r="BD11" s="57"/>
      <c r="BE11" s="55"/>
      <c r="BF11" s="56"/>
      <c r="BG11" s="56"/>
      <c r="BH11" s="56"/>
      <c r="BI11" s="56"/>
      <c r="BJ11" s="57"/>
      <c r="BK11" s="55"/>
      <c r="BL11" s="56"/>
      <c r="BM11" s="56"/>
      <c r="BN11" s="56"/>
      <c r="BO11" s="56"/>
      <c r="BP11" s="57"/>
      <c r="BQ11" s="55"/>
      <c r="BR11" s="56"/>
      <c r="BS11" s="56"/>
      <c r="BT11" s="56"/>
      <c r="BU11" s="56"/>
      <c r="BV11" s="57"/>
      <c r="BW11" s="55"/>
      <c r="BX11" s="56"/>
      <c r="BY11" s="56"/>
      <c r="BZ11" s="56"/>
      <c r="CA11" s="56"/>
      <c r="CB11" s="57"/>
      <c r="CC11" s="55"/>
      <c r="CD11" s="56"/>
      <c r="CE11" s="56"/>
      <c r="CF11" s="56"/>
      <c r="CG11" s="56"/>
      <c r="CH11" s="57"/>
      <c r="CI11" s="55"/>
      <c r="CJ11" s="56"/>
      <c r="CK11" s="56"/>
      <c r="CL11" s="56"/>
      <c r="CM11" s="56"/>
      <c r="CN11" s="57"/>
      <c r="CO11" s="55"/>
      <c r="CP11" s="56"/>
      <c r="CQ11" s="56"/>
      <c r="CR11" s="56"/>
      <c r="CS11" s="56"/>
      <c r="CT11" s="57"/>
      <c r="CU11" s="55"/>
      <c r="CV11" s="56"/>
      <c r="CW11" s="56"/>
      <c r="CX11" s="56"/>
      <c r="CY11" s="56"/>
      <c r="CZ11" s="57"/>
      <c r="DA11" s="55"/>
      <c r="DB11" s="56"/>
      <c r="DC11" s="56"/>
      <c r="DD11" s="56"/>
      <c r="DE11" s="56"/>
      <c r="DF11" s="57"/>
      <c r="DG11" s="55"/>
      <c r="DH11" s="56"/>
      <c r="DI11" s="56"/>
      <c r="DJ11" s="56"/>
      <c r="DK11" s="56"/>
      <c r="DL11" s="57"/>
      <c r="DM11" s="55"/>
      <c r="DN11" s="56"/>
      <c r="DO11" s="56"/>
      <c r="DP11" s="56"/>
      <c r="DQ11" s="56"/>
      <c r="DR11" s="57"/>
      <c r="DS11" s="55"/>
      <c r="DT11" s="56"/>
      <c r="DU11" s="56"/>
      <c r="DV11" s="56"/>
      <c r="DW11" s="56"/>
      <c r="DX11" s="57"/>
      <c r="DY11" s="55"/>
      <c r="DZ11" s="56"/>
      <c r="EA11" s="56"/>
      <c r="EB11" s="56"/>
      <c r="EC11" s="56"/>
      <c r="ED11" s="57"/>
      <c r="EE11" s="55"/>
      <c r="EF11" s="56"/>
      <c r="EG11" s="56"/>
      <c r="EH11" s="56"/>
      <c r="EI11" s="56"/>
      <c r="EJ11" s="57"/>
      <c r="EK11" s="55"/>
      <c r="EL11" s="56"/>
      <c r="EM11" s="56"/>
      <c r="EN11" s="56"/>
      <c r="EO11" s="56"/>
      <c r="EP11" s="57"/>
      <c r="EQ11" s="58">
        <f t="shared" si="0"/>
        <v>0</v>
      </c>
      <c r="ER11" s="59">
        <f t="shared" si="1"/>
        <v>0</v>
      </c>
      <c r="ES11" s="58">
        <f t="shared" si="2"/>
        <v>0</v>
      </c>
      <c r="ET11" s="59">
        <f t="shared" si="3"/>
        <v>0</v>
      </c>
      <c r="EU11" s="58">
        <f t="shared" si="4"/>
        <v>0</v>
      </c>
      <c r="EV11" s="59">
        <f t="shared" si="5"/>
        <v>0</v>
      </c>
      <c r="EW11" s="58">
        <f>SUM(DG11:EP11)+(EX11*10)</f>
        <v>0</v>
      </c>
      <c r="EX11" s="59">
        <f>COUNTIF(DG11:EP11,"x")</f>
        <v>0</v>
      </c>
      <c r="EY11" s="60">
        <f t="shared" si="6"/>
        <v>0</v>
      </c>
      <c r="EZ11" s="58">
        <f>COUNTA(C11:EP11)-COUNTIF(C11:EP11,"m")</f>
        <v>0</v>
      </c>
      <c r="FA11" s="61">
        <f>COUNTIF(C11:EP11,10)+FB11</f>
        <v>0</v>
      </c>
      <c r="FB11" s="63">
        <f>COUNTIF(C11:EP11,"x")</f>
        <v>0</v>
      </c>
      <c r="FC11" s="84">
        <v>1239</v>
      </c>
      <c r="FD11" s="49">
        <v>317</v>
      </c>
      <c r="FE11" s="50">
        <v>308</v>
      </c>
      <c r="FF11" s="50">
        <v>313</v>
      </c>
      <c r="FG11" s="50">
        <v>316</v>
      </c>
      <c r="FH11" s="53">
        <f t="shared" si="7"/>
        <v>1254</v>
      </c>
      <c r="FI11" s="45">
        <f>SUM(FC11:FG11)</f>
        <v>2493</v>
      </c>
      <c r="FJ11" s="59">
        <f t="shared" si="8"/>
        <v>7</v>
      </c>
      <c r="FK11" s="62"/>
      <c r="FL11" s="63"/>
      <c r="FM11" s="63"/>
      <c r="FN11" s="59"/>
      <c r="FO11" s="60"/>
      <c r="FP11" s="53"/>
      <c r="FQ11" s="86">
        <f t="shared" si="9"/>
        <v>349310010010</v>
      </c>
    </row>
    <row r="12" spans="1:173" ht="20.25" thickBot="1">
      <c r="A12" s="76" t="s">
        <v>77</v>
      </c>
      <c r="B12" s="73" t="s">
        <v>96</v>
      </c>
      <c r="C12" s="55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7"/>
      <c r="O12" s="55"/>
      <c r="P12" s="56"/>
      <c r="Q12" s="56"/>
      <c r="R12" s="56"/>
      <c r="S12" s="56"/>
      <c r="T12" s="57"/>
      <c r="U12" s="55"/>
      <c r="V12" s="56"/>
      <c r="W12" s="56"/>
      <c r="X12" s="56"/>
      <c r="Y12" s="56"/>
      <c r="Z12" s="57"/>
      <c r="AA12" s="55"/>
      <c r="AB12" s="56"/>
      <c r="AC12" s="56"/>
      <c r="AD12" s="56"/>
      <c r="AE12" s="56"/>
      <c r="AF12" s="57"/>
      <c r="AG12" s="55"/>
      <c r="AH12" s="56"/>
      <c r="AI12" s="56"/>
      <c r="AJ12" s="56"/>
      <c r="AK12" s="56"/>
      <c r="AL12" s="57"/>
      <c r="AM12" s="55"/>
      <c r="AN12" s="56"/>
      <c r="AO12" s="56"/>
      <c r="AP12" s="56"/>
      <c r="AQ12" s="56"/>
      <c r="AR12" s="57"/>
      <c r="AS12" s="55"/>
      <c r="AT12" s="56"/>
      <c r="AU12" s="56"/>
      <c r="AV12" s="56"/>
      <c r="AW12" s="56"/>
      <c r="AX12" s="57"/>
      <c r="AY12" s="55"/>
      <c r="AZ12" s="56"/>
      <c r="BA12" s="56"/>
      <c r="BB12" s="56"/>
      <c r="BC12" s="56"/>
      <c r="BD12" s="57"/>
      <c r="BE12" s="55"/>
      <c r="BF12" s="56"/>
      <c r="BG12" s="56"/>
      <c r="BH12" s="56"/>
      <c r="BI12" s="56"/>
      <c r="BJ12" s="57"/>
      <c r="BK12" s="55"/>
      <c r="BL12" s="56"/>
      <c r="BM12" s="56"/>
      <c r="BN12" s="56"/>
      <c r="BO12" s="56"/>
      <c r="BP12" s="57"/>
      <c r="BQ12" s="55"/>
      <c r="BR12" s="56"/>
      <c r="BS12" s="56"/>
      <c r="BT12" s="56"/>
      <c r="BU12" s="56"/>
      <c r="BV12" s="57"/>
      <c r="BW12" s="55"/>
      <c r="BX12" s="56"/>
      <c r="BY12" s="56"/>
      <c r="BZ12" s="56"/>
      <c r="CA12" s="56"/>
      <c r="CB12" s="57"/>
      <c r="CC12" s="55"/>
      <c r="CD12" s="56"/>
      <c r="CE12" s="56"/>
      <c r="CF12" s="56"/>
      <c r="CG12" s="56"/>
      <c r="CH12" s="57"/>
      <c r="CI12" s="55"/>
      <c r="CJ12" s="56"/>
      <c r="CK12" s="56"/>
      <c r="CL12" s="56"/>
      <c r="CM12" s="56"/>
      <c r="CN12" s="57"/>
      <c r="CO12" s="55"/>
      <c r="CP12" s="56"/>
      <c r="CQ12" s="56"/>
      <c r="CR12" s="56"/>
      <c r="CS12" s="56"/>
      <c r="CT12" s="57"/>
      <c r="CU12" s="55"/>
      <c r="CV12" s="56"/>
      <c r="CW12" s="56"/>
      <c r="CX12" s="56"/>
      <c r="CY12" s="56"/>
      <c r="CZ12" s="57"/>
      <c r="DA12" s="55"/>
      <c r="DB12" s="56"/>
      <c r="DC12" s="56"/>
      <c r="DD12" s="56"/>
      <c r="DE12" s="56"/>
      <c r="DF12" s="57"/>
      <c r="DG12" s="55"/>
      <c r="DH12" s="56"/>
      <c r="DI12" s="56"/>
      <c r="DJ12" s="56"/>
      <c r="DK12" s="56"/>
      <c r="DL12" s="57"/>
      <c r="DM12" s="55"/>
      <c r="DN12" s="56"/>
      <c r="DO12" s="56"/>
      <c r="DP12" s="56"/>
      <c r="DQ12" s="56"/>
      <c r="DR12" s="57"/>
      <c r="DS12" s="55"/>
      <c r="DT12" s="56"/>
      <c r="DU12" s="56"/>
      <c r="DV12" s="56"/>
      <c r="DW12" s="56"/>
      <c r="DX12" s="57"/>
      <c r="DY12" s="55"/>
      <c r="DZ12" s="56"/>
      <c r="EA12" s="56"/>
      <c r="EB12" s="56"/>
      <c r="EC12" s="56"/>
      <c r="ED12" s="57"/>
      <c r="EE12" s="55"/>
      <c r="EF12" s="56"/>
      <c r="EG12" s="56"/>
      <c r="EH12" s="56"/>
      <c r="EI12" s="56"/>
      <c r="EJ12" s="57"/>
      <c r="EK12" s="55"/>
      <c r="EL12" s="56"/>
      <c r="EM12" s="56"/>
      <c r="EN12" s="56"/>
      <c r="EO12" s="56"/>
      <c r="EP12" s="57"/>
      <c r="EQ12" s="58">
        <f t="shared" si="0"/>
        <v>0</v>
      </c>
      <c r="ER12" s="59">
        <f t="shared" si="1"/>
        <v>0</v>
      </c>
      <c r="ES12" s="58">
        <f t="shared" si="2"/>
        <v>0</v>
      </c>
      <c r="ET12" s="59">
        <f t="shared" si="3"/>
        <v>0</v>
      </c>
      <c r="EU12" s="58">
        <f t="shared" si="4"/>
        <v>0</v>
      </c>
      <c r="EV12" s="59">
        <f t="shared" si="5"/>
        <v>0</v>
      </c>
      <c r="EW12" s="58">
        <f>SUM(DG12:EP12)+(EX12*10)</f>
        <v>0</v>
      </c>
      <c r="EX12" s="59">
        <f>COUNTIF(DG12:EP12,"x")</f>
        <v>0</v>
      </c>
      <c r="EY12" s="60">
        <f t="shared" si="6"/>
        <v>0</v>
      </c>
      <c r="EZ12" s="58">
        <f>COUNTA(C12:EP12)-COUNTIF(C12:EP12,"m")</f>
        <v>0</v>
      </c>
      <c r="FA12" s="61">
        <f>COUNTIF(C12:EP12,10)+FB12</f>
        <v>0</v>
      </c>
      <c r="FB12" s="63">
        <f>COUNTIF(C12:EP12,"x")</f>
        <v>0</v>
      </c>
      <c r="FC12" s="84">
        <v>1237</v>
      </c>
      <c r="FD12" s="49">
        <v>315</v>
      </c>
      <c r="FE12" s="50">
        <v>326</v>
      </c>
      <c r="FF12" s="217">
        <v>309</v>
      </c>
      <c r="FG12" s="50">
        <v>305</v>
      </c>
      <c r="FH12" s="53">
        <f t="shared" si="7"/>
        <v>1255</v>
      </c>
      <c r="FI12" s="45">
        <f>SUM(FC12:FG12)</f>
        <v>2492</v>
      </c>
      <c r="FJ12" s="59">
        <f t="shared" si="8"/>
        <v>8</v>
      </c>
      <c r="FK12" s="62"/>
      <c r="FL12" s="63"/>
      <c r="FM12" s="63"/>
      <c r="FN12" s="59"/>
      <c r="FO12" s="60"/>
      <c r="FP12" s="53"/>
      <c r="FQ12" s="86">
        <f t="shared" si="9"/>
        <v>349210010010</v>
      </c>
    </row>
    <row r="13" spans="1:173" ht="20.25" thickBot="1">
      <c r="A13" s="77" t="s">
        <v>63</v>
      </c>
      <c r="B13" s="73" t="s">
        <v>82</v>
      </c>
      <c r="C13" s="55"/>
      <c r="D13" s="56"/>
      <c r="E13" s="56"/>
      <c r="F13" s="56"/>
      <c r="G13" s="56"/>
      <c r="H13" s="57"/>
      <c r="I13" s="55"/>
      <c r="J13" s="56"/>
      <c r="K13" s="56"/>
      <c r="L13" s="56"/>
      <c r="M13" s="56"/>
      <c r="N13" s="57"/>
      <c r="O13" s="55"/>
      <c r="P13" s="56"/>
      <c r="Q13" s="56"/>
      <c r="R13" s="56"/>
      <c r="S13" s="56"/>
      <c r="T13" s="57"/>
      <c r="U13" s="55"/>
      <c r="V13" s="56"/>
      <c r="W13" s="56"/>
      <c r="X13" s="56"/>
      <c r="Y13" s="56"/>
      <c r="Z13" s="57"/>
      <c r="AA13" s="55"/>
      <c r="AB13" s="56"/>
      <c r="AC13" s="56"/>
      <c r="AD13" s="56"/>
      <c r="AE13" s="56"/>
      <c r="AF13" s="57"/>
      <c r="AG13" s="55"/>
      <c r="AH13" s="56"/>
      <c r="AI13" s="56"/>
      <c r="AJ13" s="56"/>
      <c r="AK13" s="56"/>
      <c r="AL13" s="57"/>
      <c r="AM13" s="55"/>
      <c r="AN13" s="56"/>
      <c r="AO13" s="56"/>
      <c r="AP13" s="56"/>
      <c r="AQ13" s="56"/>
      <c r="AR13" s="57"/>
      <c r="AS13" s="55"/>
      <c r="AT13" s="56"/>
      <c r="AU13" s="56"/>
      <c r="AV13" s="56"/>
      <c r="AW13" s="56"/>
      <c r="AX13" s="57"/>
      <c r="AY13" s="55"/>
      <c r="AZ13" s="56"/>
      <c r="BA13" s="56"/>
      <c r="BB13" s="56"/>
      <c r="BC13" s="56"/>
      <c r="BD13" s="57"/>
      <c r="BE13" s="55"/>
      <c r="BF13" s="56"/>
      <c r="BG13" s="56"/>
      <c r="BH13" s="56"/>
      <c r="BI13" s="56"/>
      <c r="BJ13" s="57"/>
      <c r="BK13" s="55"/>
      <c r="BL13" s="56"/>
      <c r="BM13" s="56"/>
      <c r="BN13" s="56"/>
      <c r="BO13" s="56"/>
      <c r="BP13" s="57"/>
      <c r="BQ13" s="55"/>
      <c r="BR13" s="56"/>
      <c r="BS13" s="56"/>
      <c r="BT13" s="56"/>
      <c r="BU13" s="56"/>
      <c r="BV13" s="57"/>
      <c r="BW13" s="55"/>
      <c r="BX13" s="56"/>
      <c r="BY13" s="56"/>
      <c r="BZ13" s="56"/>
      <c r="CA13" s="56"/>
      <c r="CB13" s="57"/>
      <c r="CC13" s="55"/>
      <c r="CD13" s="56"/>
      <c r="CE13" s="56"/>
      <c r="CF13" s="56"/>
      <c r="CG13" s="56"/>
      <c r="CH13" s="57"/>
      <c r="CI13" s="55"/>
      <c r="CJ13" s="56"/>
      <c r="CK13" s="56"/>
      <c r="CL13" s="56"/>
      <c r="CM13" s="56"/>
      <c r="CN13" s="57"/>
      <c r="CO13" s="55"/>
      <c r="CP13" s="56"/>
      <c r="CQ13" s="56"/>
      <c r="CR13" s="56"/>
      <c r="CS13" s="56"/>
      <c r="CT13" s="57"/>
      <c r="CU13" s="55"/>
      <c r="CV13" s="56"/>
      <c r="CW13" s="56"/>
      <c r="CX13" s="56"/>
      <c r="CY13" s="56"/>
      <c r="CZ13" s="57"/>
      <c r="DA13" s="55"/>
      <c r="DB13" s="56"/>
      <c r="DC13" s="56"/>
      <c r="DD13" s="56"/>
      <c r="DE13" s="56"/>
      <c r="DF13" s="57"/>
      <c r="DG13" s="55"/>
      <c r="DH13" s="56"/>
      <c r="DI13" s="56"/>
      <c r="DJ13" s="56"/>
      <c r="DK13" s="56"/>
      <c r="DL13" s="57"/>
      <c r="DM13" s="55"/>
      <c r="DN13" s="56"/>
      <c r="DO13" s="56"/>
      <c r="DP13" s="56"/>
      <c r="DQ13" s="56"/>
      <c r="DR13" s="57"/>
      <c r="DS13" s="55"/>
      <c r="DT13" s="56"/>
      <c r="DU13" s="56"/>
      <c r="DV13" s="56"/>
      <c r="DW13" s="56"/>
      <c r="DX13" s="57"/>
      <c r="DY13" s="55"/>
      <c r="DZ13" s="56"/>
      <c r="EA13" s="56"/>
      <c r="EB13" s="56"/>
      <c r="EC13" s="56"/>
      <c r="ED13" s="57"/>
      <c r="EE13" s="55"/>
      <c r="EF13" s="56"/>
      <c r="EG13" s="56"/>
      <c r="EH13" s="56"/>
      <c r="EI13" s="56"/>
      <c r="EJ13" s="57"/>
      <c r="EK13" s="55"/>
      <c r="EL13" s="56"/>
      <c r="EM13" s="56"/>
      <c r="EN13" s="56"/>
      <c r="EO13" s="56"/>
      <c r="EP13" s="57"/>
      <c r="EQ13" s="58">
        <f t="shared" si="0"/>
        <v>0</v>
      </c>
      <c r="ER13" s="59">
        <f t="shared" si="1"/>
        <v>0</v>
      </c>
      <c r="ES13" s="58">
        <f t="shared" si="2"/>
        <v>0</v>
      </c>
      <c r="ET13" s="59">
        <f t="shared" si="3"/>
        <v>0</v>
      </c>
      <c r="EU13" s="58">
        <f t="shared" si="4"/>
        <v>0</v>
      </c>
      <c r="EV13" s="59">
        <f t="shared" si="5"/>
        <v>0</v>
      </c>
      <c r="EW13" s="58">
        <f>SUM(DG13:EP13)+(EX13*10)</f>
        <v>0</v>
      </c>
      <c r="EX13" s="59">
        <f>COUNTIF(DG13:EP13,"x")</f>
        <v>0</v>
      </c>
      <c r="EY13" s="60">
        <f t="shared" si="6"/>
        <v>0</v>
      </c>
      <c r="EZ13" s="58">
        <f>COUNTA(C13:EP13)-COUNTIF(C13:EP13,"m")</f>
        <v>0</v>
      </c>
      <c r="FA13" s="61">
        <f>COUNTIF(C13:EP13,10)+FB13</f>
        <v>0</v>
      </c>
      <c r="FB13" s="63">
        <f>COUNTIF(C13:EP13,"x")</f>
        <v>0</v>
      </c>
      <c r="FC13" s="84">
        <v>1204</v>
      </c>
      <c r="FD13" s="49">
        <v>328</v>
      </c>
      <c r="FE13" s="51">
        <v>315</v>
      </c>
      <c r="FF13" s="50">
        <v>317</v>
      </c>
      <c r="FG13" s="49">
        <v>325</v>
      </c>
      <c r="FH13" s="53">
        <f t="shared" si="7"/>
        <v>1285</v>
      </c>
      <c r="FI13" s="45">
        <f>SUM(FC13:FG13)</f>
        <v>2489</v>
      </c>
      <c r="FJ13" s="59">
        <f t="shared" si="8"/>
        <v>9</v>
      </c>
      <c r="FK13" s="62"/>
      <c r="FL13" s="63"/>
      <c r="FM13" s="63"/>
      <c r="FN13" s="59"/>
      <c r="FO13" s="218"/>
      <c r="FP13" s="85"/>
      <c r="FQ13" s="86">
        <f t="shared" si="9"/>
        <v>348910010010</v>
      </c>
    </row>
    <row r="14" spans="1:173" ht="20.25" thickBot="1">
      <c r="A14" s="77" t="s">
        <v>79</v>
      </c>
      <c r="B14" s="73" t="s">
        <v>97</v>
      </c>
      <c r="C14" s="55"/>
      <c r="D14" s="56"/>
      <c r="E14" s="56"/>
      <c r="F14" s="56"/>
      <c r="G14" s="56"/>
      <c r="H14" s="57"/>
      <c r="I14" s="55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7"/>
      <c r="U14" s="55"/>
      <c r="V14" s="56"/>
      <c r="W14" s="56"/>
      <c r="X14" s="56"/>
      <c r="Y14" s="56"/>
      <c r="Z14" s="57"/>
      <c r="AA14" s="55"/>
      <c r="AB14" s="56"/>
      <c r="AC14" s="56"/>
      <c r="AD14" s="56"/>
      <c r="AE14" s="56"/>
      <c r="AF14" s="57"/>
      <c r="AG14" s="55"/>
      <c r="AH14" s="56"/>
      <c r="AI14" s="56"/>
      <c r="AJ14" s="56"/>
      <c r="AK14" s="56"/>
      <c r="AL14" s="57"/>
      <c r="AM14" s="55"/>
      <c r="AN14" s="56"/>
      <c r="AO14" s="56"/>
      <c r="AP14" s="56"/>
      <c r="AQ14" s="56"/>
      <c r="AR14" s="57"/>
      <c r="AS14" s="55"/>
      <c r="AT14" s="56"/>
      <c r="AU14" s="56"/>
      <c r="AV14" s="56"/>
      <c r="AW14" s="56"/>
      <c r="AX14" s="57"/>
      <c r="AY14" s="55"/>
      <c r="AZ14" s="56"/>
      <c r="BA14" s="56"/>
      <c r="BB14" s="56"/>
      <c r="BC14" s="56"/>
      <c r="BD14" s="57"/>
      <c r="BE14" s="55"/>
      <c r="BF14" s="56"/>
      <c r="BG14" s="56"/>
      <c r="BH14" s="56"/>
      <c r="BI14" s="56"/>
      <c r="BJ14" s="57"/>
      <c r="BK14" s="55"/>
      <c r="BL14" s="56"/>
      <c r="BM14" s="56"/>
      <c r="BN14" s="56"/>
      <c r="BO14" s="56"/>
      <c r="BP14" s="57"/>
      <c r="BQ14" s="55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7"/>
      <c r="CC14" s="55"/>
      <c r="CD14" s="56"/>
      <c r="CE14" s="56"/>
      <c r="CF14" s="56"/>
      <c r="CG14" s="56"/>
      <c r="CH14" s="57"/>
      <c r="CI14" s="55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7"/>
      <c r="CU14" s="55"/>
      <c r="CV14" s="56"/>
      <c r="CW14" s="56"/>
      <c r="CX14" s="56"/>
      <c r="CY14" s="56"/>
      <c r="CZ14" s="57"/>
      <c r="DA14" s="55"/>
      <c r="DB14" s="56"/>
      <c r="DC14" s="56"/>
      <c r="DD14" s="56"/>
      <c r="DE14" s="56"/>
      <c r="DF14" s="57"/>
      <c r="DG14" s="55"/>
      <c r="DH14" s="56"/>
      <c r="DI14" s="56"/>
      <c r="DJ14" s="56"/>
      <c r="DK14" s="56"/>
      <c r="DL14" s="57"/>
      <c r="DM14" s="55"/>
      <c r="DN14" s="56"/>
      <c r="DO14" s="56"/>
      <c r="DP14" s="56"/>
      <c r="DQ14" s="56"/>
      <c r="DR14" s="57"/>
      <c r="DS14" s="55"/>
      <c r="DT14" s="56"/>
      <c r="DU14" s="56"/>
      <c r="DV14" s="56"/>
      <c r="DW14" s="56"/>
      <c r="DX14" s="57"/>
      <c r="DY14" s="55"/>
      <c r="DZ14" s="56"/>
      <c r="EA14" s="56"/>
      <c r="EB14" s="56"/>
      <c r="EC14" s="56"/>
      <c r="ED14" s="57"/>
      <c r="EE14" s="55"/>
      <c r="EF14" s="56"/>
      <c r="EG14" s="56"/>
      <c r="EH14" s="56"/>
      <c r="EI14" s="56"/>
      <c r="EJ14" s="57"/>
      <c r="EK14" s="55"/>
      <c r="EL14" s="56"/>
      <c r="EM14" s="56"/>
      <c r="EN14" s="56"/>
      <c r="EO14" s="56"/>
      <c r="EP14" s="57"/>
      <c r="EQ14" s="58">
        <f t="shared" si="0"/>
        <v>0</v>
      </c>
      <c r="ER14" s="59">
        <f t="shared" si="1"/>
        <v>0</v>
      </c>
      <c r="ES14" s="58">
        <f t="shared" si="2"/>
        <v>0</v>
      </c>
      <c r="ET14" s="59">
        <f t="shared" si="3"/>
        <v>0</v>
      </c>
      <c r="EU14" s="58">
        <f t="shared" si="4"/>
        <v>0</v>
      </c>
      <c r="EV14" s="59">
        <f t="shared" si="5"/>
        <v>0</v>
      </c>
      <c r="EW14" s="58">
        <f>SUM(DG14:EP14)+(EX14*10)</f>
        <v>0</v>
      </c>
      <c r="EX14" s="59">
        <f>COUNTIF(DG14:EP14,"x")</f>
        <v>0</v>
      </c>
      <c r="EY14" s="60">
        <f t="shared" si="6"/>
        <v>0</v>
      </c>
      <c r="EZ14" s="58">
        <f>COUNTA(C14:EP14)-COUNTIF(C14:EP14,"m")</f>
        <v>0</v>
      </c>
      <c r="FA14" s="61">
        <f>COUNTIF(C14:EP14,10)+FB14</f>
        <v>0</v>
      </c>
      <c r="FB14" s="63">
        <f>COUNTIF(C14:EP14,"x")</f>
        <v>0</v>
      </c>
      <c r="FC14" s="84">
        <v>1228</v>
      </c>
      <c r="FD14" s="49">
        <v>312</v>
      </c>
      <c r="FE14" s="50">
        <v>306</v>
      </c>
      <c r="FF14" s="50">
        <v>323</v>
      </c>
      <c r="FG14" s="50">
        <v>317</v>
      </c>
      <c r="FH14" s="53">
        <f t="shared" si="7"/>
        <v>1258</v>
      </c>
      <c r="FI14" s="45">
        <f>SUM(FC14:FG14)</f>
        <v>2486</v>
      </c>
      <c r="FJ14" s="59">
        <f t="shared" si="8"/>
        <v>10</v>
      </c>
      <c r="FK14" s="62">
        <v>9</v>
      </c>
      <c r="FL14" s="63"/>
      <c r="FM14" s="63"/>
      <c r="FN14" s="59"/>
      <c r="FO14" s="47"/>
      <c r="FP14" s="53"/>
      <c r="FQ14" s="86">
        <f t="shared" si="9"/>
        <v>348610910010</v>
      </c>
    </row>
    <row r="15" spans="1:173" ht="20.25" thickBot="1">
      <c r="A15" s="77" t="s">
        <v>71</v>
      </c>
      <c r="B15" s="73" t="s">
        <v>90</v>
      </c>
      <c r="C15" s="55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7"/>
      <c r="O15" s="55"/>
      <c r="P15" s="56"/>
      <c r="Q15" s="56"/>
      <c r="R15" s="56"/>
      <c r="S15" s="56"/>
      <c r="T15" s="57"/>
      <c r="U15" s="55"/>
      <c r="V15" s="56"/>
      <c r="W15" s="56"/>
      <c r="X15" s="56"/>
      <c r="Y15" s="56"/>
      <c r="Z15" s="57"/>
      <c r="AA15" s="55"/>
      <c r="AB15" s="56"/>
      <c r="AC15" s="56"/>
      <c r="AD15" s="56"/>
      <c r="AE15" s="56"/>
      <c r="AF15" s="57"/>
      <c r="AG15" s="55"/>
      <c r="AH15" s="56"/>
      <c r="AI15" s="56"/>
      <c r="AJ15" s="56"/>
      <c r="AK15" s="56"/>
      <c r="AL15" s="57"/>
      <c r="AM15" s="55"/>
      <c r="AN15" s="56"/>
      <c r="AO15" s="56"/>
      <c r="AP15" s="56"/>
      <c r="AQ15" s="56"/>
      <c r="AR15" s="57"/>
      <c r="AS15" s="55"/>
      <c r="AT15" s="56"/>
      <c r="AU15" s="56"/>
      <c r="AV15" s="56"/>
      <c r="AW15" s="56"/>
      <c r="AX15" s="57"/>
      <c r="AY15" s="55"/>
      <c r="AZ15" s="56"/>
      <c r="BA15" s="56"/>
      <c r="BB15" s="56"/>
      <c r="BC15" s="56"/>
      <c r="BD15" s="57"/>
      <c r="BE15" s="55"/>
      <c r="BF15" s="56"/>
      <c r="BG15" s="56"/>
      <c r="BH15" s="56"/>
      <c r="BI15" s="56"/>
      <c r="BJ15" s="57"/>
      <c r="BK15" s="55"/>
      <c r="BL15" s="56"/>
      <c r="BM15" s="56"/>
      <c r="BN15" s="56"/>
      <c r="BO15" s="56"/>
      <c r="BP15" s="57"/>
      <c r="BQ15" s="55"/>
      <c r="BR15" s="56"/>
      <c r="BS15" s="56"/>
      <c r="BT15" s="56"/>
      <c r="BU15" s="56"/>
      <c r="BV15" s="57"/>
      <c r="BW15" s="55"/>
      <c r="BX15" s="56"/>
      <c r="BY15" s="56"/>
      <c r="BZ15" s="56"/>
      <c r="CA15" s="56"/>
      <c r="CB15" s="57"/>
      <c r="CC15" s="55"/>
      <c r="CD15" s="56"/>
      <c r="CE15" s="56"/>
      <c r="CF15" s="56"/>
      <c r="CG15" s="56"/>
      <c r="CH15" s="57"/>
      <c r="CI15" s="55"/>
      <c r="CJ15" s="56"/>
      <c r="CK15" s="56"/>
      <c r="CL15" s="56"/>
      <c r="CM15" s="56"/>
      <c r="CN15" s="57"/>
      <c r="CO15" s="55"/>
      <c r="CP15" s="56"/>
      <c r="CQ15" s="56"/>
      <c r="CR15" s="56"/>
      <c r="CS15" s="56"/>
      <c r="CT15" s="57"/>
      <c r="CU15" s="55"/>
      <c r="CV15" s="56"/>
      <c r="CW15" s="56"/>
      <c r="CX15" s="56"/>
      <c r="CY15" s="56"/>
      <c r="CZ15" s="57"/>
      <c r="DA15" s="55"/>
      <c r="DB15" s="56"/>
      <c r="DC15" s="56"/>
      <c r="DD15" s="56"/>
      <c r="DE15" s="56"/>
      <c r="DF15" s="57"/>
      <c r="DG15" s="55"/>
      <c r="DH15" s="56"/>
      <c r="DI15" s="56"/>
      <c r="DJ15" s="56"/>
      <c r="DK15" s="56"/>
      <c r="DL15" s="57"/>
      <c r="DM15" s="55"/>
      <c r="DN15" s="56"/>
      <c r="DO15" s="56"/>
      <c r="DP15" s="56"/>
      <c r="DQ15" s="56"/>
      <c r="DR15" s="57"/>
      <c r="DS15" s="55"/>
      <c r="DT15" s="56"/>
      <c r="DU15" s="56"/>
      <c r="DV15" s="56"/>
      <c r="DW15" s="56"/>
      <c r="DX15" s="57"/>
      <c r="DY15" s="55"/>
      <c r="DZ15" s="56"/>
      <c r="EA15" s="56"/>
      <c r="EB15" s="56"/>
      <c r="EC15" s="56"/>
      <c r="ED15" s="57"/>
      <c r="EE15" s="55"/>
      <c r="EF15" s="56"/>
      <c r="EG15" s="56"/>
      <c r="EH15" s="56"/>
      <c r="EI15" s="56"/>
      <c r="EJ15" s="57"/>
      <c r="EK15" s="55"/>
      <c r="EL15" s="56"/>
      <c r="EM15" s="56"/>
      <c r="EN15" s="56"/>
      <c r="EO15" s="56"/>
      <c r="EP15" s="57"/>
      <c r="EQ15" s="58">
        <f t="shared" si="0"/>
        <v>0</v>
      </c>
      <c r="ER15" s="59">
        <f t="shared" si="1"/>
        <v>0</v>
      </c>
      <c r="ES15" s="58">
        <f t="shared" si="2"/>
        <v>0</v>
      </c>
      <c r="ET15" s="59">
        <f t="shared" si="3"/>
        <v>0</v>
      </c>
      <c r="EU15" s="58">
        <f t="shared" si="4"/>
        <v>0</v>
      </c>
      <c r="EV15" s="59">
        <f t="shared" si="5"/>
        <v>0</v>
      </c>
      <c r="EW15" s="58">
        <f>SUM(DG15:EP15)+(EX15*10)</f>
        <v>0</v>
      </c>
      <c r="EX15" s="59">
        <f>COUNTIF(DG15:EP15,"x")</f>
        <v>0</v>
      </c>
      <c r="EY15" s="60">
        <f t="shared" si="6"/>
        <v>0</v>
      </c>
      <c r="EZ15" s="58">
        <f>COUNTA(C15:EP15)-COUNTIF(C15:EP15,"m")</f>
        <v>0</v>
      </c>
      <c r="FA15" s="61">
        <f>COUNTIF(C15:EP15,10)+FB15</f>
        <v>0</v>
      </c>
      <c r="FB15" s="63">
        <f>COUNTIF(C15:EP15,"x")</f>
        <v>0</v>
      </c>
      <c r="FC15" s="84">
        <v>1232</v>
      </c>
      <c r="FD15" s="49">
        <v>307</v>
      </c>
      <c r="FE15" s="50">
        <v>324</v>
      </c>
      <c r="FF15" s="50">
        <v>311</v>
      </c>
      <c r="FG15" s="50">
        <v>312</v>
      </c>
      <c r="FH15" s="53">
        <f t="shared" si="7"/>
        <v>1254</v>
      </c>
      <c r="FI15" s="45">
        <f>SUM(FC15:FG15)</f>
        <v>2486</v>
      </c>
      <c r="FJ15" s="59">
        <f t="shared" si="8"/>
        <v>11</v>
      </c>
      <c r="FK15" s="62">
        <v>6</v>
      </c>
      <c r="FL15" s="63"/>
      <c r="FM15" s="63"/>
      <c r="FN15" s="59"/>
      <c r="FO15" s="60"/>
      <c r="FP15" s="53"/>
      <c r="FQ15" s="86">
        <f t="shared" si="9"/>
        <v>348610610010</v>
      </c>
    </row>
    <row r="16" spans="1:173" ht="20.25" thickBot="1">
      <c r="A16" s="77" t="s">
        <v>69</v>
      </c>
      <c r="B16" s="73" t="s">
        <v>88</v>
      </c>
      <c r="C16" s="55"/>
      <c r="D16" s="56"/>
      <c r="E16" s="56"/>
      <c r="F16" s="56"/>
      <c r="G16" s="56"/>
      <c r="H16" s="57"/>
      <c r="I16" s="55"/>
      <c r="J16" s="56"/>
      <c r="K16" s="56"/>
      <c r="L16" s="56"/>
      <c r="M16" s="56"/>
      <c r="N16" s="57"/>
      <c r="O16" s="55"/>
      <c r="P16" s="56"/>
      <c r="Q16" s="56"/>
      <c r="R16" s="56"/>
      <c r="S16" s="56"/>
      <c r="T16" s="57"/>
      <c r="U16" s="55"/>
      <c r="V16" s="56"/>
      <c r="W16" s="56"/>
      <c r="X16" s="56"/>
      <c r="Y16" s="56"/>
      <c r="Z16" s="57"/>
      <c r="AA16" s="55"/>
      <c r="AB16" s="56"/>
      <c r="AC16" s="56"/>
      <c r="AD16" s="56"/>
      <c r="AE16" s="56"/>
      <c r="AF16" s="57"/>
      <c r="AG16" s="55"/>
      <c r="AH16" s="56"/>
      <c r="AI16" s="56"/>
      <c r="AJ16" s="56"/>
      <c r="AK16" s="56"/>
      <c r="AL16" s="57"/>
      <c r="AM16" s="55"/>
      <c r="AN16" s="56"/>
      <c r="AO16" s="56"/>
      <c r="AP16" s="56"/>
      <c r="AQ16" s="56"/>
      <c r="AR16" s="57"/>
      <c r="AS16" s="55"/>
      <c r="AT16" s="56"/>
      <c r="AU16" s="56"/>
      <c r="AV16" s="56"/>
      <c r="AW16" s="56"/>
      <c r="AX16" s="57"/>
      <c r="AY16" s="55"/>
      <c r="AZ16" s="56"/>
      <c r="BA16" s="56"/>
      <c r="BB16" s="56"/>
      <c r="BC16" s="56"/>
      <c r="BD16" s="57"/>
      <c r="BE16" s="55"/>
      <c r="BF16" s="56"/>
      <c r="BG16" s="56"/>
      <c r="BH16" s="56"/>
      <c r="BI16" s="56"/>
      <c r="BJ16" s="57"/>
      <c r="BK16" s="55"/>
      <c r="BL16" s="56"/>
      <c r="BM16" s="56"/>
      <c r="BN16" s="56"/>
      <c r="BO16" s="56"/>
      <c r="BP16" s="57"/>
      <c r="BQ16" s="55"/>
      <c r="BR16" s="56"/>
      <c r="BS16" s="56"/>
      <c r="BT16" s="56"/>
      <c r="BU16" s="56"/>
      <c r="BV16" s="57"/>
      <c r="BW16" s="55"/>
      <c r="BX16" s="56"/>
      <c r="BY16" s="56"/>
      <c r="BZ16" s="56"/>
      <c r="CA16" s="56"/>
      <c r="CB16" s="57"/>
      <c r="CC16" s="55"/>
      <c r="CD16" s="56"/>
      <c r="CE16" s="56"/>
      <c r="CF16" s="56"/>
      <c r="CG16" s="56"/>
      <c r="CH16" s="57"/>
      <c r="CI16" s="55"/>
      <c r="CJ16" s="56"/>
      <c r="CK16" s="56"/>
      <c r="CL16" s="56"/>
      <c r="CM16" s="56"/>
      <c r="CN16" s="57"/>
      <c r="CO16" s="55"/>
      <c r="CP16" s="56"/>
      <c r="CQ16" s="56"/>
      <c r="CR16" s="56"/>
      <c r="CS16" s="56"/>
      <c r="CT16" s="57"/>
      <c r="CU16" s="55"/>
      <c r="CV16" s="56"/>
      <c r="CW16" s="56"/>
      <c r="CX16" s="56"/>
      <c r="CY16" s="56"/>
      <c r="CZ16" s="57"/>
      <c r="DA16" s="55"/>
      <c r="DB16" s="56"/>
      <c r="DC16" s="56"/>
      <c r="DD16" s="56"/>
      <c r="DE16" s="56"/>
      <c r="DF16" s="57"/>
      <c r="DG16" s="55"/>
      <c r="DH16" s="56"/>
      <c r="DI16" s="56"/>
      <c r="DJ16" s="56"/>
      <c r="DK16" s="56"/>
      <c r="DL16" s="57"/>
      <c r="DM16" s="55"/>
      <c r="DN16" s="56"/>
      <c r="DO16" s="56"/>
      <c r="DP16" s="56"/>
      <c r="DQ16" s="56"/>
      <c r="DR16" s="57"/>
      <c r="DS16" s="55"/>
      <c r="DT16" s="56"/>
      <c r="DU16" s="56"/>
      <c r="DV16" s="56"/>
      <c r="DW16" s="56"/>
      <c r="DX16" s="57"/>
      <c r="DY16" s="55"/>
      <c r="DZ16" s="56"/>
      <c r="EA16" s="56"/>
      <c r="EB16" s="56"/>
      <c r="EC16" s="56"/>
      <c r="ED16" s="57"/>
      <c r="EE16" s="55"/>
      <c r="EF16" s="56"/>
      <c r="EG16" s="56"/>
      <c r="EH16" s="56"/>
      <c r="EI16" s="56"/>
      <c r="EJ16" s="57"/>
      <c r="EK16" s="55"/>
      <c r="EL16" s="56"/>
      <c r="EM16" s="56"/>
      <c r="EN16" s="56"/>
      <c r="EO16" s="56"/>
      <c r="EP16" s="57"/>
      <c r="EQ16" s="58">
        <f t="shared" si="0"/>
        <v>0</v>
      </c>
      <c r="ER16" s="59">
        <f t="shared" si="1"/>
        <v>0</v>
      </c>
      <c r="ES16" s="58">
        <f t="shared" si="2"/>
        <v>0</v>
      </c>
      <c r="ET16" s="59">
        <f t="shared" si="3"/>
        <v>0</v>
      </c>
      <c r="EU16" s="58">
        <f t="shared" si="4"/>
        <v>0</v>
      </c>
      <c r="EV16" s="59">
        <f t="shared" si="5"/>
        <v>0</v>
      </c>
      <c r="EW16" s="58">
        <f>SUM(DG16:EP16)+(EX16*10)</f>
        <v>0</v>
      </c>
      <c r="EX16" s="59">
        <f>COUNTIF(DG16:EP16,"x")</f>
        <v>0</v>
      </c>
      <c r="EY16" s="60">
        <f t="shared" si="6"/>
        <v>0</v>
      </c>
      <c r="EZ16" s="58">
        <f>COUNTA(C16:EP16)-COUNTIF(C16:EP16,"m")</f>
        <v>0</v>
      </c>
      <c r="FA16" s="61">
        <f>COUNTIF(C16:EP16,10)+FB16</f>
        <v>0</v>
      </c>
      <c r="FB16" s="63">
        <f>COUNTIF(C16:EP16,"x")</f>
        <v>0</v>
      </c>
      <c r="FC16" s="84">
        <v>1236</v>
      </c>
      <c r="FD16" s="49">
        <v>300</v>
      </c>
      <c r="FE16" s="50">
        <v>311</v>
      </c>
      <c r="FF16" s="50">
        <v>313</v>
      </c>
      <c r="FG16" s="50">
        <v>323</v>
      </c>
      <c r="FH16" s="53">
        <f t="shared" si="7"/>
        <v>1247</v>
      </c>
      <c r="FI16" s="45">
        <f>SUM(FC16:FG16)</f>
        <v>2483</v>
      </c>
      <c r="FJ16" s="59">
        <f t="shared" si="8"/>
        <v>12</v>
      </c>
      <c r="FK16" s="62"/>
      <c r="FL16" s="63"/>
      <c r="FM16" s="63"/>
      <c r="FN16" s="59"/>
      <c r="FO16" s="219"/>
      <c r="FP16" s="53"/>
      <c r="FQ16" s="86">
        <f t="shared" si="9"/>
        <v>348310010010</v>
      </c>
    </row>
    <row r="17" spans="1:173" ht="20.25" thickBot="1">
      <c r="A17" s="77" t="s">
        <v>75</v>
      </c>
      <c r="B17" s="73" t="s">
        <v>94</v>
      </c>
      <c r="C17" s="55"/>
      <c r="D17" s="56"/>
      <c r="E17" s="56"/>
      <c r="F17" s="56"/>
      <c r="G17" s="56"/>
      <c r="H17" s="57"/>
      <c r="I17" s="55"/>
      <c r="J17" s="56"/>
      <c r="K17" s="56"/>
      <c r="L17" s="56"/>
      <c r="M17" s="56"/>
      <c r="N17" s="57"/>
      <c r="O17" s="55"/>
      <c r="P17" s="56"/>
      <c r="Q17" s="56"/>
      <c r="R17" s="56"/>
      <c r="S17" s="56"/>
      <c r="T17" s="57"/>
      <c r="U17" s="55"/>
      <c r="V17" s="56"/>
      <c r="W17" s="56"/>
      <c r="X17" s="56"/>
      <c r="Y17" s="56"/>
      <c r="Z17" s="57"/>
      <c r="AA17" s="55"/>
      <c r="AB17" s="56"/>
      <c r="AC17" s="56"/>
      <c r="AD17" s="56"/>
      <c r="AE17" s="56"/>
      <c r="AF17" s="57"/>
      <c r="AG17" s="55"/>
      <c r="AH17" s="56"/>
      <c r="AI17" s="56"/>
      <c r="AJ17" s="56"/>
      <c r="AK17" s="56"/>
      <c r="AL17" s="57"/>
      <c r="AM17" s="55"/>
      <c r="AN17" s="56"/>
      <c r="AO17" s="56"/>
      <c r="AP17" s="56"/>
      <c r="AQ17" s="56"/>
      <c r="AR17" s="57"/>
      <c r="AS17" s="55"/>
      <c r="AT17" s="56"/>
      <c r="AU17" s="56"/>
      <c r="AV17" s="56"/>
      <c r="AW17" s="56"/>
      <c r="AX17" s="57"/>
      <c r="AY17" s="55"/>
      <c r="AZ17" s="56"/>
      <c r="BA17" s="56"/>
      <c r="BB17" s="56"/>
      <c r="BC17" s="56"/>
      <c r="BD17" s="57"/>
      <c r="BE17" s="55"/>
      <c r="BF17" s="56"/>
      <c r="BG17" s="56"/>
      <c r="BH17" s="56"/>
      <c r="BI17" s="56"/>
      <c r="BJ17" s="57"/>
      <c r="BK17" s="55"/>
      <c r="BL17" s="56"/>
      <c r="BM17" s="56"/>
      <c r="BN17" s="56"/>
      <c r="BO17" s="56"/>
      <c r="BP17" s="57"/>
      <c r="BQ17" s="55"/>
      <c r="BR17" s="56"/>
      <c r="BS17" s="56"/>
      <c r="BT17" s="56"/>
      <c r="BU17" s="56"/>
      <c r="BV17" s="57"/>
      <c r="BW17" s="55"/>
      <c r="BX17" s="56"/>
      <c r="BY17" s="56"/>
      <c r="BZ17" s="56"/>
      <c r="CA17" s="56"/>
      <c r="CB17" s="57"/>
      <c r="CC17" s="55"/>
      <c r="CD17" s="56"/>
      <c r="CE17" s="56"/>
      <c r="CF17" s="56"/>
      <c r="CG17" s="56"/>
      <c r="CH17" s="57"/>
      <c r="CI17" s="55"/>
      <c r="CJ17" s="56"/>
      <c r="CK17" s="56"/>
      <c r="CL17" s="56"/>
      <c r="CM17" s="56"/>
      <c r="CN17" s="57"/>
      <c r="CO17" s="55"/>
      <c r="CP17" s="56"/>
      <c r="CQ17" s="56"/>
      <c r="CR17" s="56"/>
      <c r="CS17" s="56"/>
      <c r="CT17" s="57"/>
      <c r="CU17" s="55"/>
      <c r="CV17" s="56"/>
      <c r="CW17" s="56"/>
      <c r="CX17" s="56"/>
      <c r="CY17" s="56"/>
      <c r="CZ17" s="57"/>
      <c r="DA17" s="55"/>
      <c r="DB17" s="56"/>
      <c r="DC17" s="56"/>
      <c r="DD17" s="56"/>
      <c r="DE17" s="56"/>
      <c r="DF17" s="57"/>
      <c r="DG17" s="55"/>
      <c r="DH17" s="56"/>
      <c r="DI17" s="56"/>
      <c r="DJ17" s="56"/>
      <c r="DK17" s="56"/>
      <c r="DL17" s="57"/>
      <c r="DM17" s="55"/>
      <c r="DN17" s="56"/>
      <c r="DO17" s="56"/>
      <c r="DP17" s="56"/>
      <c r="DQ17" s="56"/>
      <c r="DR17" s="57"/>
      <c r="DS17" s="55"/>
      <c r="DT17" s="56"/>
      <c r="DU17" s="56"/>
      <c r="DV17" s="56"/>
      <c r="DW17" s="56"/>
      <c r="DX17" s="57"/>
      <c r="DY17" s="55"/>
      <c r="DZ17" s="56"/>
      <c r="EA17" s="56"/>
      <c r="EB17" s="56"/>
      <c r="EC17" s="56"/>
      <c r="ED17" s="57"/>
      <c r="EE17" s="55"/>
      <c r="EF17" s="56"/>
      <c r="EG17" s="56"/>
      <c r="EH17" s="56"/>
      <c r="EI17" s="56"/>
      <c r="EJ17" s="57"/>
      <c r="EK17" s="55"/>
      <c r="EL17" s="56"/>
      <c r="EM17" s="56"/>
      <c r="EN17" s="56"/>
      <c r="EO17" s="56"/>
      <c r="EP17" s="57"/>
      <c r="EQ17" s="58">
        <f t="shared" si="0"/>
        <v>0</v>
      </c>
      <c r="ER17" s="59">
        <f t="shared" si="1"/>
        <v>0</v>
      </c>
      <c r="ES17" s="58">
        <f t="shared" si="2"/>
        <v>0</v>
      </c>
      <c r="ET17" s="59">
        <f t="shared" si="3"/>
        <v>0</v>
      </c>
      <c r="EU17" s="58">
        <f t="shared" si="4"/>
        <v>0</v>
      </c>
      <c r="EV17" s="59">
        <f t="shared" si="5"/>
        <v>0</v>
      </c>
      <c r="EW17" s="58">
        <f>SUM(DG17:EP17)+(EX17*10)</f>
        <v>0</v>
      </c>
      <c r="EX17" s="59">
        <f>COUNTIF(DG17:EP17,"x")</f>
        <v>0</v>
      </c>
      <c r="EY17" s="60">
        <f t="shared" si="6"/>
        <v>0</v>
      </c>
      <c r="EZ17" s="58">
        <f>COUNTA(C17:EP17)-COUNTIF(C17:EP17,"m")</f>
        <v>0</v>
      </c>
      <c r="FA17" s="61">
        <f>COUNTIF(C17:EP17,10)+FB17</f>
        <v>0</v>
      </c>
      <c r="FB17" s="63">
        <f>COUNTIF(C17:EP17,"x")</f>
        <v>0</v>
      </c>
      <c r="FC17" s="84">
        <v>1251</v>
      </c>
      <c r="FD17" s="49">
        <v>309</v>
      </c>
      <c r="FE17" s="50">
        <v>291</v>
      </c>
      <c r="FF17" s="50">
        <v>303</v>
      </c>
      <c r="FG17" s="50">
        <v>304</v>
      </c>
      <c r="FH17" s="53">
        <f t="shared" si="7"/>
        <v>1207</v>
      </c>
      <c r="FI17" s="45">
        <f>SUM(FC17:FG17)</f>
        <v>2458</v>
      </c>
      <c r="FJ17" s="59">
        <f t="shared" si="8"/>
        <v>13</v>
      </c>
      <c r="FK17" s="62"/>
      <c r="FL17" s="63"/>
      <c r="FM17" s="63"/>
      <c r="FN17" s="59"/>
      <c r="FO17" s="60"/>
      <c r="FP17" s="53"/>
      <c r="FQ17" s="86">
        <f t="shared" si="9"/>
        <v>345810010010</v>
      </c>
    </row>
    <row r="18" spans="1:173" ht="20.25" thickBot="1">
      <c r="A18" s="221" t="s">
        <v>76</v>
      </c>
      <c r="B18" s="222" t="s">
        <v>95</v>
      </c>
      <c r="C18" s="223"/>
      <c r="D18" s="224"/>
      <c r="E18" s="224"/>
      <c r="F18" s="224"/>
      <c r="G18" s="224"/>
      <c r="H18" s="225"/>
      <c r="I18" s="223"/>
      <c r="J18" s="224"/>
      <c r="K18" s="224"/>
      <c r="L18" s="224"/>
      <c r="M18" s="224"/>
      <c r="N18" s="225"/>
      <c r="O18" s="223"/>
      <c r="P18" s="224"/>
      <c r="Q18" s="224"/>
      <c r="R18" s="224"/>
      <c r="S18" s="224"/>
      <c r="T18" s="225"/>
      <c r="U18" s="223"/>
      <c r="V18" s="224"/>
      <c r="W18" s="224"/>
      <c r="X18" s="224"/>
      <c r="Y18" s="224"/>
      <c r="Z18" s="225"/>
      <c r="AA18" s="223"/>
      <c r="AB18" s="224"/>
      <c r="AC18" s="224"/>
      <c r="AD18" s="224"/>
      <c r="AE18" s="224"/>
      <c r="AF18" s="225"/>
      <c r="AG18" s="223"/>
      <c r="AH18" s="224"/>
      <c r="AI18" s="224"/>
      <c r="AJ18" s="224"/>
      <c r="AK18" s="224"/>
      <c r="AL18" s="225"/>
      <c r="AM18" s="223"/>
      <c r="AN18" s="224"/>
      <c r="AO18" s="224"/>
      <c r="AP18" s="224"/>
      <c r="AQ18" s="224"/>
      <c r="AR18" s="225"/>
      <c r="AS18" s="223"/>
      <c r="AT18" s="224"/>
      <c r="AU18" s="224"/>
      <c r="AV18" s="224"/>
      <c r="AW18" s="224"/>
      <c r="AX18" s="225"/>
      <c r="AY18" s="223"/>
      <c r="AZ18" s="224"/>
      <c r="BA18" s="224"/>
      <c r="BB18" s="224"/>
      <c r="BC18" s="224"/>
      <c r="BD18" s="225"/>
      <c r="BE18" s="223"/>
      <c r="BF18" s="224"/>
      <c r="BG18" s="224"/>
      <c r="BH18" s="224"/>
      <c r="BI18" s="224"/>
      <c r="BJ18" s="225"/>
      <c r="BK18" s="223"/>
      <c r="BL18" s="224"/>
      <c r="BM18" s="224"/>
      <c r="BN18" s="224"/>
      <c r="BO18" s="224"/>
      <c r="BP18" s="225"/>
      <c r="BQ18" s="223"/>
      <c r="BR18" s="224"/>
      <c r="BS18" s="224"/>
      <c r="BT18" s="224"/>
      <c r="BU18" s="224"/>
      <c r="BV18" s="225"/>
      <c r="BW18" s="223"/>
      <c r="BX18" s="224"/>
      <c r="BY18" s="224"/>
      <c r="BZ18" s="224"/>
      <c r="CA18" s="224"/>
      <c r="CB18" s="225"/>
      <c r="CC18" s="223"/>
      <c r="CD18" s="224"/>
      <c r="CE18" s="224"/>
      <c r="CF18" s="224"/>
      <c r="CG18" s="224"/>
      <c r="CH18" s="225"/>
      <c r="CI18" s="223"/>
      <c r="CJ18" s="224"/>
      <c r="CK18" s="224"/>
      <c r="CL18" s="224"/>
      <c r="CM18" s="224"/>
      <c r="CN18" s="225"/>
      <c r="CO18" s="223"/>
      <c r="CP18" s="224"/>
      <c r="CQ18" s="224"/>
      <c r="CR18" s="224"/>
      <c r="CS18" s="224"/>
      <c r="CT18" s="225"/>
      <c r="CU18" s="223"/>
      <c r="CV18" s="224"/>
      <c r="CW18" s="224"/>
      <c r="CX18" s="224"/>
      <c r="CY18" s="224"/>
      <c r="CZ18" s="225"/>
      <c r="DA18" s="223"/>
      <c r="DB18" s="224"/>
      <c r="DC18" s="224"/>
      <c r="DD18" s="224"/>
      <c r="DE18" s="224"/>
      <c r="DF18" s="225"/>
      <c r="DG18" s="223"/>
      <c r="DH18" s="224"/>
      <c r="DI18" s="224"/>
      <c r="DJ18" s="224"/>
      <c r="DK18" s="224"/>
      <c r="DL18" s="225"/>
      <c r="DM18" s="223"/>
      <c r="DN18" s="224"/>
      <c r="DO18" s="224"/>
      <c r="DP18" s="224"/>
      <c r="DQ18" s="224"/>
      <c r="DR18" s="225"/>
      <c r="DS18" s="223"/>
      <c r="DT18" s="224"/>
      <c r="DU18" s="224"/>
      <c r="DV18" s="224"/>
      <c r="DW18" s="224"/>
      <c r="DX18" s="225"/>
      <c r="DY18" s="223"/>
      <c r="DZ18" s="224"/>
      <c r="EA18" s="224"/>
      <c r="EB18" s="224"/>
      <c r="EC18" s="224"/>
      <c r="ED18" s="225"/>
      <c r="EE18" s="223"/>
      <c r="EF18" s="224"/>
      <c r="EG18" s="224"/>
      <c r="EH18" s="224"/>
      <c r="EI18" s="224"/>
      <c r="EJ18" s="225"/>
      <c r="EK18" s="223"/>
      <c r="EL18" s="224"/>
      <c r="EM18" s="224"/>
      <c r="EN18" s="224"/>
      <c r="EO18" s="224"/>
      <c r="EP18" s="225"/>
      <c r="EQ18" s="226">
        <f t="shared" si="0"/>
        <v>0</v>
      </c>
      <c r="ER18" s="227">
        <f t="shared" si="1"/>
        <v>0</v>
      </c>
      <c r="ES18" s="226">
        <f t="shared" si="2"/>
        <v>0</v>
      </c>
      <c r="ET18" s="227">
        <f t="shared" si="3"/>
        <v>0</v>
      </c>
      <c r="EU18" s="226">
        <f t="shared" si="4"/>
        <v>0</v>
      </c>
      <c r="EV18" s="227">
        <f t="shared" si="5"/>
        <v>0</v>
      </c>
      <c r="EW18" s="226">
        <f>SUM(DG18:EP18)+(EX18*10)</f>
        <v>0</v>
      </c>
      <c r="EX18" s="227">
        <f>COUNTIF(DG18:EP18,"x")</f>
        <v>0</v>
      </c>
      <c r="EY18" s="218">
        <f t="shared" si="6"/>
        <v>0</v>
      </c>
      <c r="EZ18" s="226">
        <f>COUNTA(C18:EP18)-COUNTIF(C18:EP18,"m")</f>
        <v>0</v>
      </c>
      <c r="FA18" s="228">
        <f>COUNTIF(C18:EP18,10)+FB18</f>
        <v>0</v>
      </c>
      <c r="FB18" s="229">
        <f>COUNTIF(C18:EP18,"x")</f>
        <v>0</v>
      </c>
      <c r="FC18" s="230">
        <v>1222</v>
      </c>
      <c r="FD18" s="231">
        <v>311</v>
      </c>
      <c r="FE18" s="217">
        <v>300</v>
      </c>
      <c r="FF18" s="217">
        <v>310</v>
      </c>
      <c r="FG18" s="217">
        <v>294</v>
      </c>
      <c r="FH18" s="232">
        <f t="shared" si="7"/>
        <v>1215</v>
      </c>
      <c r="FI18" s="233">
        <f>SUM(FC18:FG18)</f>
        <v>2437</v>
      </c>
      <c r="FJ18" s="227">
        <f t="shared" si="8"/>
        <v>14</v>
      </c>
      <c r="FK18" s="234"/>
      <c r="FL18" s="63"/>
      <c r="FM18" s="63"/>
      <c r="FN18" s="59"/>
      <c r="FO18" s="60"/>
      <c r="FP18" s="53"/>
      <c r="FQ18" s="86">
        <f t="shared" si="9"/>
        <v>343710010010</v>
      </c>
    </row>
    <row r="19" spans="1:173" ht="21" thickBot="1" thickTop="1">
      <c r="A19" s="235" t="s">
        <v>64</v>
      </c>
      <c r="B19" s="236" t="s">
        <v>83</v>
      </c>
      <c r="C19" s="237"/>
      <c r="D19" s="238"/>
      <c r="E19" s="238"/>
      <c r="F19" s="238"/>
      <c r="G19" s="238"/>
      <c r="H19" s="239"/>
      <c r="I19" s="237"/>
      <c r="J19" s="238"/>
      <c r="K19" s="238"/>
      <c r="L19" s="238"/>
      <c r="M19" s="238"/>
      <c r="N19" s="239"/>
      <c r="O19" s="237"/>
      <c r="P19" s="238"/>
      <c r="Q19" s="238"/>
      <c r="R19" s="238"/>
      <c r="S19" s="238"/>
      <c r="T19" s="239"/>
      <c r="U19" s="237"/>
      <c r="V19" s="238"/>
      <c r="W19" s="238"/>
      <c r="X19" s="238"/>
      <c r="Y19" s="238"/>
      <c r="Z19" s="239"/>
      <c r="AA19" s="237"/>
      <c r="AB19" s="238"/>
      <c r="AC19" s="238"/>
      <c r="AD19" s="238"/>
      <c r="AE19" s="238"/>
      <c r="AF19" s="239"/>
      <c r="AG19" s="237"/>
      <c r="AH19" s="238"/>
      <c r="AI19" s="238"/>
      <c r="AJ19" s="238"/>
      <c r="AK19" s="238"/>
      <c r="AL19" s="239"/>
      <c r="AM19" s="237"/>
      <c r="AN19" s="238"/>
      <c r="AO19" s="238"/>
      <c r="AP19" s="238"/>
      <c r="AQ19" s="238"/>
      <c r="AR19" s="239"/>
      <c r="AS19" s="237"/>
      <c r="AT19" s="238"/>
      <c r="AU19" s="238"/>
      <c r="AV19" s="238"/>
      <c r="AW19" s="238"/>
      <c r="AX19" s="239"/>
      <c r="AY19" s="237"/>
      <c r="AZ19" s="238"/>
      <c r="BA19" s="238"/>
      <c r="BB19" s="238"/>
      <c r="BC19" s="238"/>
      <c r="BD19" s="239"/>
      <c r="BE19" s="237"/>
      <c r="BF19" s="238"/>
      <c r="BG19" s="238"/>
      <c r="BH19" s="238"/>
      <c r="BI19" s="238"/>
      <c r="BJ19" s="239"/>
      <c r="BK19" s="237"/>
      <c r="BL19" s="238"/>
      <c r="BM19" s="238"/>
      <c r="BN19" s="238"/>
      <c r="BO19" s="238"/>
      <c r="BP19" s="239"/>
      <c r="BQ19" s="237"/>
      <c r="BR19" s="238"/>
      <c r="BS19" s="238"/>
      <c r="BT19" s="238"/>
      <c r="BU19" s="238"/>
      <c r="BV19" s="239"/>
      <c r="BW19" s="237"/>
      <c r="BX19" s="238"/>
      <c r="BY19" s="238"/>
      <c r="BZ19" s="238"/>
      <c r="CA19" s="238"/>
      <c r="CB19" s="239"/>
      <c r="CC19" s="237"/>
      <c r="CD19" s="238"/>
      <c r="CE19" s="238"/>
      <c r="CF19" s="238"/>
      <c r="CG19" s="238"/>
      <c r="CH19" s="239"/>
      <c r="CI19" s="237"/>
      <c r="CJ19" s="238"/>
      <c r="CK19" s="238"/>
      <c r="CL19" s="238"/>
      <c r="CM19" s="238"/>
      <c r="CN19" s="239"/>
      <c r="CO19" s="237"/>
      <c r="CP19" s="238"/>
      <c r="CQ19" s="238"/>
      <c r="CR19" s="238"/>
      <c r="CS19" s="238"/>
      <c r="CT19" s="239"/>
      <c r="CU19" s="237"/>
      <c r="CV19" s="238"/>
      <c r="CW19" s="238"/>
      <c r="CX19" s="238"/>
      <c r="CY19" s="238"/>
      <c r="CZ19" s="239"/>
      <c r="DA19" s="237"/>
      <c r="DB19" s="238"/>
      <c r="DC19" s="238"/>
      <c r="DD19" s="238"/>
      <c r="DE19" s="238"/>
      <c r="DF19" s="239"/>
      <c r="DG19" s="237"/>
      <c r="DH19" s="238"/>
      <c r="DI19" s="238"/>
      <c r="DJ19" s="238"/>
      <c r="DK19" s="238"/>
      <c r="DL19" s="239"/>
      <c r="DM19" s="237"/>
      <c r="DN19" s="238"/>
      <c r="DO19" s="238"/>
      <c r="DP19" s="238"/>
      <c r="DQ19" s="238"/>
      <c r="DR19" s="239"/>
      <c r="DS19" s="237"/>
      <c r="DT19" s="238"/>
      <c r="DU19" s="238"/>
      <c r="DV19" s="238"/>
      <c r="DW19" s="238"/>
      <c r="DX19" s="239"/>
      <c r="DY19" s="237"/>
      <c r="DZ19" s="238"/>
      <c r="EA19" s="238"/>
      <c r="EB19" s="238"/>
      <c r="EC19" s="238"/>
      <c r="ED19" s="239"/>
      <c r="EE19" s="237"/>
      <c r="EF19" s="238"/>
      <c r="EG19" s="238"/>
      <c r="EH19" s="238"/>
      <c r="EI19" s="238"/>
      <c r="EJ19" s="239"/>
      <c r="EK19" s="237"/>
      <c r="EL19" s="238"/>
      <c r="EM19" s="238"/>
      <c r="EN19" s="238"/>
      <c r="EO19" s="238"/>
      <c r="EP19" s="239"/>
      <c r="EQ19" s="240">
        <f t="shared" si="0"/>
        <v>0</v>
      </c>
      <c r="ER19" s="241">
        <f t="shared" si="1"/>
        <v>0</v>
      </c>
      <c r="ES19" s="240">
        <f t="shared" si="2"/>
        <v>0</v>
      </c>
      <c r="ET19" s="241">
        <f t="shared" si="3"/>
        <v>0</v>
      </c>
      <c r="EU19" s="240">
        <f t="shared" si="4"/>
        <v>0</v>
      </c>
      <c r="EV19" s="241">
        <f t="shared" si="5"/>
        <v>0</v>
      </c>
      <c r="EW19" s="240">
        <f>SUM(DG19:EP19)+(EX19*10)</f>
        <v>0</v>
      </c>
      <c r="EX19" s="241">
        <f>COUNTIF(DG19:EP19,"x")</f>
        <v>0</v>
      </c>
      <c r="EY19" s="242">
        <f t="shared" si="6"/>
        <v>0</v>
      </c>
      <c r="EZ19" s="240">
        <f>COUNTA(C19:EP19)-COUNTIF(C19:EP19,"m")</f>
        <v>0</v>
      </c>
      <c r="FA19" s="243">
        <f>COUNTIF(C19:EP19,10)+FB19</f>
        <v>0</v>
      </c>
      <c r="FB19" s="244">
        <f>COUNTIF(C19:EP19,"x")</f>
        <v>0</v>
      </c>
      <c r="FC19" s="245">
        <v>1199</v>
      </c>
      <c r="FD19" s="246">
        <v>310</v>
      </c>
      <c r="FE19" s="243">
        <v>307</v>
      </c>
      <c r="FF19" s="243">
        <v>293</v>
      </c>
      <c r="FG19" s="243">
        <v>305</v>
      </c>
      <c r="FH19" s="247">
        <f t="shared" si="7"/>
        <v>1215</v>
      </c>
      <c r="FI19" s="240">
        <f>SUM(FC19:FG19)</f>
        <v>2414</v>
      </c>
      <c r="FJ19" s="241">
        <f t="shared" si="8"/>
        <v>15</v>
      </c>
      <c r="FK19" s="246"/>
      <c r="FL19" s="63"/>
      <c r="FM19" s="63"/>
      <c r="FN19" s="59"/>
      <c r="FO19" s="60"/>
      <c r="FP19" s="85"/>
      <c r="FQ19" s="86">
        <f t="shared" si="9"/>
        <v>341410010010</v>
      </c>
    </row>
    <row r="20" spans="1:173" ht="20.25" thickBot="1">
      <c r="A20" s="77" t="s">
        <v>78</v>
      </c>
      <c r="B20" s="73" t="s">
        <v>300</v>
      </c>
      <c r="C20" s="55"/>
      <c r="D20" s="56"/>
      <c r="E20" s="56"/>
      <c r="F20" s="56"/>
      <c r="G20" s="56"/>
      <c r="H20" s="57"/>
      <c r="I20" s="55"/>
      <c r="J20" s="56"/>
      <c r="K20" s="56"/>
      <c r="L20" s="56"/>
      <c r="M20" s="56"/>
      <c r="N20" s="57"/>
      <c r="O20" s="55"/>
      <c r="P20" s="56"/>
      <c r="Q20" s="56"/>
      <c r="R20" s="56"/>
      <c r="S20" s="56"/>
      <c r="T20" s="57"/>
      <c r="U20" s="55"/>
      <c r="V20" s="56"/>
      <c r="W20" s="56"/>
      <c r="X20" s="56"/>
      <c r="Y20" s="56"/>
      <c r="Z20" s="57"/>
      <c r="AA20" s="55"/>
      <c r="AB20" s="56"/>
      <c r="AC20" s="56"/>
      <c r="AD20" s="56"/>
      <c r="AE20" s="56"/>
      <c r="AF20" s="57"/>
      <c r="AG20" s="55"/>
      <c r="AH20" s="56"/>
      <c r="AI20" s="56"/>
      <c r="AJ20" s="56"/>
      <c r="AK20" s="56"/>
      <c r="AL20" s="57"/>
      <c r="AM20" s="55"/>
      <c r="AN20" s="56"/>
      <c r="AO20" s="56"/>
      <c r="AP20" s="56"/>
      <c r="AQ20" s="56"/>
      <c r="AR20" s="57"/>
      <c r="AS20" s="55"/>
      <c r="AT20" s="56"/>
      <c r="AU20" s="56"/>
      <c r="AV20" s="56"/>
      <c r="AW20" s="56"/>
      <c r="AX20" s="57"/>
      <c r="AY20" s="55"/>
      <c r="AZ20" s="56"/>
      <c r="BA20" s="56"/>
      <c r="BB20" s="56"/>
      <c r="BC20" s="56"/>
      <c r="BD20" s="57"/>
      <c r="BE20" s="55"/>
      <c r="BF20" s="56"/>
      <c r="BG20" s="56"/>
      <c r="BH20" s="56"/>
      <c r="BI20" s="56"/>
      <c r="BJ20" s="57"/>
      <c r="BK20" s="55"/>
      <c r="BL20" s="56"/>
      <c r="BM20" s="56"/>
      <c r="BN20" s="56"/>
      <c r="BO20" s="56"/>
      <c r="BP20" s="57"/>
      <c r="BQ20" s="55"/>
      <c r="BR20" s="56"/>
      <c r="BS20" s="56"/>
      <c r="BT20" s="56"/>
      <c r="BU20" s="56"/>
      <c r="BV20" s="57"/>
      <c r="BW20" s="55"/>
      <c r="BX20" s="56"/>
      <c r="BY20" s="56"/>
      <c r="BZ20" s="56"/>
      <c r="CA20" s="56"/>
      <c r="CB20" s="57"/>
      <c r="CC20" s="55"/>
      <c r="CD20" s="56"/>
      <c r="CE20" s="56"/>
      <c r="CF20" s="56"/>
      <c r="CG20" s="56"/>
      <c r="CH20" s="57"/>
      <c r="CI20" s="55"/>
      <c r="CJ20" s="56"/>
      <c r="CK20" s="56"/>
      <c r="CL20" s="56"/>
      <c r="CM20" s="56"/>
      <c r="CN20" s="57"/>
      <c r="CO20" s="55"/>
      <c r="CP20" s="56"/>
      <c r="CQ20" s="56"/>
      <c r="CR20" s="56"/>
      <c r="CS20" s="56"/>
      <c r="CT20" s="57"/>
      <c r="CU20" s="55"/>
      <c r="CV20" s="56"/>
      <c r="CW20" s="56"/>
      <c r="CX20" s="56"/>
      <c r="CY20" s="56"/>
      <c r="CZ20" s="57"/>
      <c r="DA20" s="55"/>
      <c r="DB20" s="56"/>
      <c r="DC20" s="56"/>
      <c r="DD20" s="56"/>
      <c r="DE20" s="56"/>
      <c r="DF20" s="57"/>
      <c r="DG20" s="55"/>
      <c r="DH20" s="56"/>
      <c r="DI20" s="56"/>
      <c r="DJ20" s="56"/>
      <c r="DK20" s="56"/>
      <c r="DL20" s="57"/>
      <c r="DM20" s="55"/>
      <c r="DN20" s="56"/>
      <c r="DO20" s="56"/>
      <c r="DP20" s="56"/>
      <c r="DQ20" s="56"/>
      <c r="DR20" s="57"/>
      <c r="DS20" s="55"/>
      <c r="DT20" s="56"/>
      <c r="DU20" s="56"/>
      <c r="DV20" s="56"/>
      <c r="DW20" s="56"/>
      <c r="DX20" s="57"/>
      <c r="DY20" s="55"/>
      <c r="DZ20" s="56"/>
      <c r="EA20" s="56"/>
      <c r="EB20" s="56"/>
      <c r="EC20" s="56"/>
      <c r="ED20" s="57"/>
      <c r="EE20" s="55"/>
      <c r="EF20" s="56"/>
      <c r="EG20" s="56"/>
      <c r="EH20" s="56"/>
      <c r="EI20" s="56"/>
      <c r="EJ20" s="57"/>
      <c r="EK20" s="55"/>
      <c r="EL20" s="56"/>
      <c r="EM20" s="56"/>
      <c r="EN20" s="56"/>
      <c r="EO20" s="56"/>
      <c r="EP20" s="57"/>
      <c r="EQ20" s="58">
        <f t="shared" si="0"/>
        <v>0</v>
      </c>
      <c r="ER20" s="59">
        <f t="shared" si="1"/>
        <v>0</v>
      </c>
      <c r="ES20" s="58">
        <f t="shared" si="2"/>
        <v>0</v>
      </c>
      <c r="ET20" s="59">
        <f t="shared" si="3"/>
        <v>0</v>
      </c>
      <c r="EU20" s="58">
        <f t="shared" si="4"/>
        <v>0</v>
      </c>
      <c r="EV20" s="59">
        <f t="shared" si="5"/>
        <v>0</v>
      </c>
      <c r="EW20" s="58">
        <f>SUM(DG20:EP20)+(EX20*10)</f>
        <v>0</v>
      </c>
      <c r="EX20" s="59">
        <f>COUNTIF(DG20:EP20,"x")</f>
        <v>0</v>
      </c>
      <c r="EY20" s="60">
        <f t="shared" si="6"/>
        <v>0</v>
      </c>
      <c r="EZ20" s="58">
        <f>COUNTA(C20:EP20)-COUNTIF(C20:EP20,"m")</f>
        <v>0</v>
      </c>
      <c r="FA20" s="61">
        <f>COUNTIF(C20:EP20,10)+FB20</f>
        <v>0</v>
      </c>
      <c r="FB20" s="63">
        <f>COUNTIF(C20:EP20,"x")</f>
        <v>0</v>
      </c>
      <c r="FC20" s="84">
        <v>1223</v>
      </c>
      <c r="FD20" s="49">
        <v>310</v>
      </c>
      <c r="FE20" s="50">
        <v>276</v>
      </c>
      <c r="FF20" s="50">
        <v>291</v>
      </c>
      <c r="FG20" s="50">
        <v>286</v>
      </c>
      <c r="FH20" s="53">
        <f t="shared" si="7"/>
        <v>1163</v>
      </c>
      <c r="FI20" s="45">
        <f>SUM(FC20:FG20)</f>
        <v>2386</v>
      </c>
      <c r="FJ20" s="59">
        <f t="shared" si="8"/>
        <v>16</v>
      </c>
      <c r="FK20" s="62"/>
      <c r="FL20" s="63"/>
      <c r="FM20" s="63"/>
      <c r="FN20" s="59"/>
      <c r="FO20" s="60"/>
      <c r="FP20" s="53"/>
      <c r="FQ20" s="86">
        <f t="shared" si="9"/>
        <v>338610010010</v>
      </c>
    </row>
    <row r="21" spans="1:173" ht="20.25" thickBot="1">
      <c r="A21" s="76" t="s">
        <v>66</v>
      </c>
      <c r="B21" s="73" t="s">
        <v>85</v>
      </c>
      <c r="C21" s="55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7"/>
      <c r="O21" s="55"/>
      <c r="P21" s="56"/>
      <c r="Q21" s="56"/>
      <c r="R21" s="56"/>
      <c r="S21" s="56"/>
      <c r="T21" s="57"/>
      <c r="U21" s="55"/>
      <c r="V21" s="56"/>
      <c r="W21" s="56"/>
      <c r="X21" s="56"/>
      <c r="Y21" s="56"/>
      <c r="Z21" s="57"/>
      <c r="AA21" s="55"/>
      <c r="AB21" s="56"/>
      <c r="AC21" s="56"/>
      <c r="AD21" s="56"/>
      <c r="AE21" s="56"/>
      <c r="AF21" s="57"/>
      <c r="AG21" s="55"/>
      <c r="AH21" s="56"/>
      <c r="AI21" s="56"/>
      <c r="AJ21" s="56"/>
      <c r="AK21" s="56"/>
      <c r="AL21" s="57"/>
      <c r="AM21" s="55"/>
      <c r="AN21" s="56"/>
      <c r="AO21" s="56"/>
      <c r="AP21" s="56"/>
      <c r="AQ21" s="56"/>
      <c r="AR21" s="57"/>
      <c r="AS21" s="55"/>
      <c r="AT21" s="56"/>
      <c r="AU21" s="56"/>
      <c r="AV21" s="56"/>
      <c r="AW21" s="56"/>
      <c r="AX21" s="57"/>
      <c r="AY21" s="55"/>
      <c r="AZ21" s="56"/>
      <c r="BA21" s="56"/>
      <c r="BB21" s="56"/>
      <c r="BC21" s="56"/>
      <c r="BD21" s="57"/>
      <c r="BE21" s="55"/>
      <c r="BF21" s="56"/>
      <c r="BG21" s="56"/>
      <c r="BH21" s="56"/>
      <c r="BI21" s="56"/>
      <c r="BJ21" s="57"/>
      <c r="BK21" s="55"/>
      <c r="BL21" s="56"/>
      <c r="BM21" s="56"/>
      <c r="BN21" s="56"/>
      <c r="BO21" s="56"/>
      <c r="BP21" s="57"/>
      <c r="BQ21" s="55"/>
      <c r="BR21" s="56"/>
      <c r="BS21" s="56"/>
      <c r="BT21" s="56"/>
      <c r="BU21" s="56"/>
      <c r="BV21" s="57"/>
      <c r="BW21" s="55"/>
      <c r="BX21" s="56"/>
      <c r="BY21" s="56"/>
      <c r="BZ21" s="56"/>
      <c r="CA21" s="56"/>
      <c r="CB21" s="57"/>
      <c r="CC21" s="55"/>
      <c r="CD21" s="56"/>
      <c r="CE21" s="56"/>
      <c r="CF21" s="56"/>
      <c r="CG21" s="56"/>
      <c r="CH21" s="57"/>
      <c r="CI21" s="55"/>
      <c r="CJ21" s="56"/>
      <c r="CK21" s="56"/>
      <c r="CL21" s="56"/>
      <c r="CM21" s="56"/>
      <c r="CN21" s="57"/>
      <c r="CO21" s="55"/>
      <c r="CP21" s="56"/>
      <c r="CQ21" s="56"/>
      <c r="CR21" s="56"/>
      <c r="CS21" s="56"/>
      <c r="CT21" s="57"/>
      <c r="CU21" s="55"/>
      <c r="CV21" s="56"/>
      <c r="CW21" s="56"/>
      <c r="CX21" s="56"/>
      <c r="CY21" s="56"/>
      <c r="CZ21" s="57"/>
      <c r="DA21" s="55"/>
      <c r="DB21" s="56"/>
      <c r="DC21" s="56"/>
      <c r="DD21" s="56"/>
      <c r="DE21" s="56"/>
      <c r="DF21" s="57"/>
      <c r="DG21" s="55"/>
      <c r="DH21" s="56"/>
      <c r="DI21" s="56"/>
      <c r="DJ21" s="56"/>
      <c r="DK21" s="56"/>
      <c r="DL21" s="57"/>
      <c r="DM21" s="55"/>
      <c r="DN21" s="56"/>
      <c r="DO21" s="56"/>
      <c r="DP21" s="56"/>
      <c r="DQ21" s="56"/>
      <c r="DR21" s="57"/>
      <c r="DS21" s="55"/>
      <c r="DT21" s="56"/>
      <c r="DU21" s="56"/>
      <c r="DV21" s="56"/>
      <c r="DW21" s="56"/>
      <c r="DX21" s="57"/>
      <c r="DY21" s="55"/>
      <c r="DZ21" s="56"/>
      <c r="EA21" s="56"/>
      <c r="EB21" s="56"/>
      <c r="EC21" s="56"/>
      <c r="ED21" s="57"/>
      <c r="EE21" s="55"/>
      <c r="EF21" s="56"/>
      <c r="EG21" s="56"/>
      <c r="EH21" s="56"/>
      <c r="EI21" s="56"/>
      <c r="EJ21" s="57"/>
      <c r="EK21" s="55"/>
      <c r="EL21" s="56"/>
      <c r="EM21" s="56"/>
      <c r="EN21" s="56"/>
      <c r="EO21" s="56"/>
      <c r="EP21" s="57"/>
      <c r="EQ21" s="58">
        <f t="shared" si="0"/>
        <v>0</v>
      </c>
      <c r="ER21" s="59">
        <f t="shared" si="1"/>
        <v>0</v>
      </c>
      <c r="ES21" s="58">
        <f t="shared" si="2"/>
        <v>0</v>
      </c>
      <c r="ET21" s="59">
        <f t="shared" si="3"/>
        <v>0</v>
      </c>
      <c r="EU21" s="58">
        <f t="shared" si="4"/>
        <v>0</v>
      </c>
      <c r="EV21" s="59">
        <f t="shared" si="5"/>
        <v>0</v>
      </c>
      <c r="EW21" s="58">
        <f>SUM(DG21:EP21)+(EX21*10)</f>
        <v>0</v>
      </c>
      <c r="EX21" s="59">
        <f>COUNTIF(DG21:EP21,"x")</f>
        <v>0</v>
      </c>
      <c r="EY21" s="60">
        <f t="shared" si="6"/>
        <v>0</v>
      </c>
      <c r="EZ21" s="58">
        <f>COUNTA(C21:EP21)-COUNTIF(C21:EP21,"m")</f>
        <v>0</v>
      </c>
      <c r="FA21" s="61">
        <f>COUNTIF(C21:EP21,10)+FB21</f>
        <v>0</v>
      </c>
      <c r="FB21" s="63">
        <f>COUNTIF(C21:EP21,"x")</f>
        <v>0</v>
      </c>
      <c r="FC21" s="84">
        <v>1192</v>
      </c>
      <c r="FD21" s="49">
        <v>293</v>
      </c>
      <c r="FE21" s="50">
        <v>297</v>
      </c>
      <c r="FF21" s="217">
        <v>298</v>
      </c>
      <c r="FG21" s="50">
        <v>299</v>
      </c>
      <c r="FH21" s="53">
        <f t="shared" si="7"/>
        <v>1187</v>
      </c>
      <c r="FI21" s="45">
        <f>SUM(FC21:FG21)</f>
        <v>2379</v>
      </c>
      <c r="FJ21" s="59">
        <f t="shared" si="8"/>
        <v>17</v>
      </c>
      <c r="FK21" s="62"/>
      <c r="FL21" s="63"/>
      <c r="FM21" s="63"/>
      <c r="FN21" s="59"/>
      <c r="FO21" s="60"/>
      <c r="FP21" s="53"/>
      <c r="FQ21" s="86">
        <f t="shared" si="9"/>
        <v>337910010010</v>
      </c>
    </row>
    <row r="22" spans="1:173" ht="20.25" thickBot="1">
      <c r="A22" s="76" t="s">
        <v>65</v>
      </c>
      <c r="B22" s="73" t="s">
        <v>84</v>
      </c>
      <c r="C22" s="55"/>
      <c r="D22" s="56"/>
      <c r="E22" s="56"/>
      <c r="F22" s="56"/>
      <c r="G22" s="56"/>
      <c r="H22" s="57"/>
      <c r="I22" s="55"/>
      <c r="J22" s="56"/>
      <c r="K22" s="56"/>
      <c r="L22" s="56"/>
      <c r="M22" s="56"/>
      <c r="N22" s="57"/>
      <c r="O22" s="55"/>
      <c r="P22" s="56"/>
      <c r="Q22" s="56"/>
      <c r="R22" s="56"/>
      <c r="S22" s="56"/>
      <c r="T22" s="57"/>
      <c r="U22" s="55"/>
      <c r="V22" s="56"/>
      <c r="W22" s="56"/>
      <c r="X22" s="56"/>
      <c r="Y22" s="56"/>
      <c r="Z22" s="57"/>
      <c r="AA22" s="55"/>
      <c r="AB22" s="56"/>
      <c r="AC22" s="56"/>
      <c r="AD22" s="56"/>
      <c r="AE22" s="56"/>
      <c r="AF22" s="57"/>
      <c r="AG22" s="55"/>
      <c r="AH22" s="56"/>
      <c r="AI22" s="56"/>
      <c r="AJ22" s="56"/>
      <c r="AK22" s="56"/>
      <c r="AL22" s="57"/>
      <c r="AM22" s="55"/>
      <c r="AN22" s="56"/>
      <c r="AO22" s="56"/>
      <c r="AP22" s="56"/>
      <c r="AQ22" s="56"/>
      <c r="AR22" s="57"/>
      <c r="AS22" s="55"/>
      <c r="AT22" s="56"/>
      <c r="AU22" s="56"/>
      <c r="AV22" s="56"/>
      <c r="AW22" s="56"/>
      <c r="AX22" s="57"/>
      <c r="AY22" s="55"/>
      <c r="AZ22" s="56"/>
      <c r="BA22" s="56"/>
      <c r="BB22" s="56"/>
      <c r="BC22" s="56"/>
      <c r="BD22" s="57"/>
      <c r="BE22" s="55"/>
      <c r="BF22" s="56"/>
      <c r="BG22" s="56"/>
      <c r="BH22" s="56"/>
      <c r="BI22" s="56"/>
      <c r="BJ22" s="57"/>
      <c r="BK22" s="55"/>
      <c r="BL22" s="56"/>
      <c r="BM22" s="56"/>
      <c r="BN22" s="56"/>
      <c r="BO22" s="56"/>
      <c r="BP22" s="57"/>
      <c r="BQ22" s="55"/>
      <c r="BR22" s="56"/>
      <c r="BS22" s="56"/>
      <c r="BT22" s="56"/>
      <c r="BU22" s="56"/>
      <c r="BV22" s="57"/>
      <c r="BW22" s="55"/>
      <c r="BX22" s="56"/>
      <c r="BY22" s="56"/>
      <c r="BZ22" s="56"/>
      <c r="CA22" s="56"/>
      <c r="CB22" s="57"/>
      <c r="CC22" s="55"/>
      <c r="CD22" s="56"/>
      <c r="CE22" s="56"/>
      <c r="CF22" s="56"/>
      <c r="CG22" s="56"/>
      <c r="CH22" s="57"/>
      <c r="CI22" s="55"/>
      <c r="CJ22" s="56"/>
      <c r="CK22" s="56"/>
      <c r="CL22" s="56"/>
      <c r="CM22" s="56"/>
      <c r="CN22" s="57"/>
      <c r="CO22" s="55"/>
      <c r="CP22" s="56"/>
      <c r="CQ22" s="56"/>
      <c r="CR22" s="56"/>
      <c r="CS22" s="56"/>
      <c r="CT22" s="57"/>
      <c r="CU22" s="55"/>
      <c r="CV22" s="56"/>
      <c r="CW22" s="56"/>
      <c r="CX22" s="56"/>
      <c r="CY22" s="56"/>
      <c r="CZ22" s="57"/>
      <c r="DA22" s="55"/>
      <c r="DB22" s="56"/>
      <c r="DC22" s="56"/>
      <c r="DD22" s="56"/>
      <c r="DE22" s="56"/>
      <c r="DF22" s="57"/>
      <c r="DG22" s="55"/>
      <c r="DH22" s="56"/>
      <c r="DI22" s="56"/>
      <c r="DJ22" s="56"/>
      <c r="DK22" s="56"/>
      <c r="DL22" s="57"/>
      <c r="DM22" s="55"/>
      <c r="DN22" s="56"/>
      <c r="DO22" s="56"/>
      <c r="DP22" s="56"/>
      <c r="DQ22" s="56"/>
      <c r="DR22" s="57"/>
      <c r="DS22" s="55"/>
      <c r="DT22" s="56"/>
      <c r="DU22" s="56"/>
      <c r="DV22" s="56"/>
      <c r="DW22" s="56"/>
      <c r="DX22" s="57"/>
      <c r="DY22" s="55"/>
      <c r="DZ22" s="56"/>
      <c r="EA22" s="56"/>
      <c r="EB22" s="56"/>
      <c r="EC22" s="56"/>
      <c r="ED22" s="57"/>
      <c r="EE22" s="55"/>
      <c r="EF22" s="56"/>
      <c r="EG22" s="56"/>
      <c r="EH22" s="56"/>
      <c r="EI22" s="56"/>
      <c r="EJ22" s="57"/>
      <c r="EK22" s="55"/>
      <c r="EL22" s="56"/>
      <c r="EM22" s="56"/>
      <c r="EN22" s="56"/>
      <c r="EO22" s="56"/>
      <c r="EP22" s="57"/>
      <c r="EQ22" s="58">
        <f t="shared" si="0"/>
        <v>0</v>
      </c>
      <c r="ER22" s="59">
        <f t="shared" si="1"/>
        <v>0</v>
      </c>
      <c r="ES22" s="58">
        <f t="shared" si="2"/>
        <v>0</v>
      </c>
      <c r="ET22" s="59">
        <f t="shared" si="3"/>
        <v>0</v>
      </c>
      <c r="EU22" s="58">
        <f t="shared" si="4"/>
        <v>0</v>
      </c>
      <c r="EV22" s="59">
        <f t="shared" si="5"/>
        <v>0</v>
      </c>
      <c r="EW22" s="58">
        <f>SUM(DG22:EP22)+(EX22*10)</f>
        <v>0</v>
      </c>
      <c r="EX22" s="59">
        <f>COUNTIF(DG22:EP22,"x")</f>
        <v>0</v>
      </c>
      <c r="EY22" s="60">
        <f t="shared" si="6"/>
        <v>0</v>
      </c>
      <c r="EZ22" s="58">
        <f>COUNTA(C22:EP22)-COUNTIF(C22:EP22,"m")</f>
        <v>0</v>
      </c>
      <c r="FA22" s="61">
        <f>COUNTIF(C22:EP22,10)+FB22</f>
        <v>0</v>
      </c>
      <c r="FB22" s="63">
        <f>COUNTIF(C22:EP22,"x")</f>
        <v>0</v>
      </c>
      <c r="FC22" s="84">
        <v>1199</v>
      </c>
      <c r="FD22" s="49">
        <v>298</v>
      </c>
      <c r="FE22" s="51">
        <v>288</v>
      </c>
      <c r="FF22" s="50">
        <v>295</v>
      </c>
      <c r="FG22" s="49">
        <v>286</v>
      </c>
      <c r="FH22" s="53">
        <f t="shared" si="7"/>
        <v>1167</v>
      </c>
      <c r="FI22" s="45">
        <f>SUM(FC22:FG22)</f>
        <v>2366</v>
      </c>
      <c r="FJ22" s="59">
        <f t="shared" si="8"/>
        <v>18</v>
      </c>
      <c r="FK22" s="62"/>
      <c r="FL22" s="63"/>
      <c r="FM22" s="63"/>
      <c r="FN22" s="52"/>
      <c r="FO22" s="218"/>
      <c r="FP22" s="53"/>
      <c r="FQ22" s="86">
        <f t="shared" si="9"/>
        <v>336610010010</v>
      </c>
    </row>
    <row r="23" spans="1:173" ht="20.25" thickBot="1">
      <c r="A23" s="76" t="s">
        <v>68</v>
      </c>
      <c r="B23" s="73" t="s">
        <v>87</v>
      </c>
      <c r="C23" s="55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7"/>
      <c r="O23" s="55"/>
      <c r="P23" s="56"/>
      <c r="Q23" s="56"/>
      <c r="R23" s="56"/>
      <c r="S23" s="56"/>
      <c r="T23" s="57"/>
      <c r="U23" s="55"/>
      <c r="V23" s="56"/>
      <c r="W23" s="56"/>
      <c r="X23" s="56"/>
      <c r="Y23" s="56"/>
      <c r="Z23" s="57"/>
      <c r="AA23" s="55"/>
      <c r="AB23" s="56"/>
      <c r="AC23" s="56"/>
      <c r="AD23" s="56"/>
      <c r="AE23" s="56"/>
      <c r="AF23" s="57"/>
      <c r="AG23" s="55"/>
      <c r="AH23" s="56"/>
      <c r="AI23" s="56"/>
      <c r="AJ23" s="56"/>
      <c r="AK23" s="56"/>
      <c r="AL23" s="57"/>
      <c r="AM23" s="55"/>
      <c r="AN23" s="56"/>
      <c r="AO23" s="56"/>
      <c r="AP23" s="56"/>
      <c r="AQ23" s="56"/>
      <c r="AR23" s="57"/>
      <c r="AS23" s="55"/>
      <c r="AT23" s="56"/>
      <c r="AU23" s="56"/>
      <c r="AV23" s="56"/>
      <c r="AW23" s="56"/>
      <c r="AX23" s="57"/>
      <c r="AY23" s="55"/>
      <c r="AZ23" s="56"/>
      <c r="BA23" s="56"/>
      <c r="BB23" s="56"/>
      <c r="BC23" s="56"/>
      <c r="BD23" s="57"/>
      <c r="BE23" s="55"/>
      <c r="BF23" s="56"/>
      <c r="BG23" s="56"/>
      <c r="BH23" s="56"/>
      <c r="BI23" s="56"/>
      <c r="BJ23" s="57"/>
      <c r="BK23" s="55"/>
      <c r="BL23" s="56"/>
      <c r="BM23" s="56"/>
      <c r="BN23" s="56"/>
      <c r="BO23" s="56"/>
      <c r="BP23" s="57"/>
      <c r="BQ23" s="55"/>
      <c r="BR23" s="56"/>
      <c r="BS23" s="56"/>
      <c r="BT23" s="56"/>
      <c r="BU23" s="56"/>
      <c r="BV23" s="57"/>
      <c r="BW23" s="55"/>
      <c r="BX23" s="56"/>
      <c r="BY23" s="56"/>
      <c r="BZ23" s="56"/>
      <c r="CA23" s="56"/>
      <c r="CB23" s="57"/>
      <c r="CC23" s="55"/>
      <c r="CD23" s="56"/>
      <c r="CE23" s="56"/>
      <c r="CF23" s="56"/>
      <c r="CG23" s="56"/>
      <c r="CH23" s="57"/>
      <c r="CI23" s="55"/>
      <c r="CJ23" s="56"/>
      <c r="CK23" s="56"/>
      <c r="CL23" s="56"/>
      <c r="CM23" s="56"/>
      <c r="CN23" s="57"/>
      <c r="CO23" s="55"/>
      <c r="CP23" s="56"/>
      <c r="CQ23" s="56"/>
      <c r="CR23" s="56"/>
      <c r="CS23" s="56"/>
      <c r="CT23" s="57"/>
      <c r="CU23" s="55"/>
      <c r="CV23" s="56"/>
      <c r="CW23" s="56"/>
      <c r="CX23" s="56"/>
      <c r="CY23" s="56"/>
      <c r="CZ23" s="57"/>
      <c r="DA23" s="55"/>
      <c r="DB23" s="56"/>
      <c r="DC23" s="56"/>
      <c r="DD23" s="56"/>
      <c r="DE23" s="56"/>
      <c r="DF23" s="57"/>
      <c r="DG23" s="55"/>
      <c r="DH23" s="56"/>
      <c r="DI23" s="56"/>
      <c r="DJ23" s="56"/>
      <c r="DK23" s="56"/>
      <c r="DL23" s="57"/>
      <c r="DM23" s="55"/>
      <c r="DN23" s="56"/>
      <c r="DO23" s="56"/>
      <c r="DP23" s="56"/>
      <c r="DQ23" s="56"/>
      <c r="DR23" s="57"/>
      <c r="DS23" s="55"/>
      <c r="DT23" s="56"/>
      <c r="DU23" s="56"/>
      <c r="DV23" s="56"/>
      <c r="DW23" s="56"/>
      <c r="DX23" s="57"/>
      <c r="DY23" s="55"/>
      <c r="DZ23" s="56"/>
      <c r="EA23" s="56"/>
      <c r="EB23" s="56"/>
      <c r="EC23" s="56"/>
      <c r="ED23" s="57"/>
      <c r="EE23" s="55"/>
      <c r="EF23" s="56"/>
      <c r="EG23" s="56"/>
      <c r="EH23" s="56"/>
      <c r="EI23" s="56"/>
      <c r="EJ23" s="57"/>
      <c r="EK23" s="55"/>
      <c r="EL23" s="56"/>
      <c r="EM23" s="56"/>
      <c r="EN23" s="56"/>
      <c r="EO23" s="56"/>
      <c r="EP23" s="57"/>
      <c r="EQ23" s="58">
        <f t="shared" si="0"/>
        <v>0</v>
      </c>
      <c r="ER23" s="59">
        <f t="shared" si="1"/>
        <v>0</v>
      </c>
      <c r="ES23" s="58">
        <f t="shared" si="2"/>
        <v>0</v>
      </c>
      <c r="ET23" s="59">
        <f t="shared" si="3"/>
        <v>0</v>
      </c>
      <c r="EU23" s="58">
        <f t="shared" si="4"/>
        <v>0</v>
      </c>
      <c r="EV23" s="59">
        <f t="shared" si="5"/>
        <v>0</v>
      </c>
      <c r="EW23" s="58">
        <f>SUM(DG23:EP23)+(EX23*10)</f>
        <v>0</v>
      </c>
      <c r="EX23" s="59">
        <f>COUNTIF(DG23:EP23,"x")</f>
        <v>0</v>
      </c>
      <c r="EY23" s="60">
        <f t="shared" si="6"/>
        <v>0</v>
      </c>
      <c r="EZ23" s="58">
        <f>COUNTA(C23:EP23)-COUNTIF(C23:EP23,"m")</f>
        <v>0</v>
      </c>
      <c r="FA23" s="61">
        <f>COUNTIF(C23:EP23,10)+FB23</f>
        <v>0</v>
      </c>
      <c r="FB23" s="63">
        <f>COUNTIF(C23:EP23,"x")</f>
        <v>0</v>
      </c>
      <c r="FC23" s="84">
        <v>1188</v>
      </c>
      <c r="FD23" s="49">
        <v>301</v>
      </c>
      <c r="FE23" s="50">
        <v>300</v>
      </c>
      <c r="FF23" s="50">
        <v>283</v>
      </c>
      <c r="FG23" s="50">
        <v>273</v>
      </c>
      <c r="FH23" s="53">
        <f t="shared" si="7"/>
        <v>1157</v>
      </c>
      <c r="FI23" s="45">
        <f>SUM(FC23:FG23)</f>
        <v>2345</v>
      </c>
      <c r="FJ23" s="59">
        <f t="shared" si="8"/>
        <v>19</v>
      </c>
      <c r="FK23" s="62"/>
      <c r="FL23" s="63"/>
      <c r="FM23" s="63"/>
      <c r="FN23" s="59"/>
      <c r="FO23" s="218"/>
      <c r="FP23" s="53"/>
      <c r="FQ23" s="86">
        <f t="shared" si="9"/>
        <v>334510010010</v>
      </c>
    </row>
    <row r="24" spans="1:173" ht="20.25" thickBot="1">
      <c r="A24" s="76" t="s">
        <v>67</v>
      </c>
      <c r="B24" s="74" t="s">
        <v>86</v>
      </c>
      <c r="C24" s="55"/>
      <c r="D24" s="56"/>
      <c r="E24" s="56"/>
      <c r="F24" s="56"/>
      <c r="G24" s="56"/>
      <c r="H24" s="57"/>
      <c r="I24" s="55"/>
      <c r="J24" s="56"/>
      <c r="K24" s="56"/>
      <c r="L24" s="56"/>
      <c r="M24" s="56"/>
      <c r="N24" s="57"/>
      <c r="O24" s="55"/>
      <c r="P24" s="56"/>
      <c r="Q24" s="56"/>
      <c r="R24" s="56"/>
      <c r="S24" s="56"/>
      <c r="T24" s="57"/>
      <c r="U24" s="55"/>
      <c r="V24" s="56"/>
      <c r="W24" s="56"/>
      <c r="X24" s="56"/>
      <c r="Y24" s="56"/>
      <c r="Z24" s="57"/>
      <c r="AA24" s="55"/>
      <c r="AB24" s="56"/>
      <c r="AC24" s="56"/>
      <c r="AD24" s="56"/>
      <c r="AE24" s="56"/>
      <c r="AF24" s="57"/>
      <c r="AG24" s="55"/>
      <c r="AH24" s="56"/>
      <c r="AI24" s="56"/>
      <c r="AJ24" s="56"/>
      <c r="AK24" s="56"/>
      <c r="AL24" s="57"/>
      <c r="AM24" s="55"/>
      <c r="AN24" s="56"/>
      <c r="AO24" s="56"/>
      <c r="AP24" s="56"/>
      <c r="AQ24" s="56"/>
      <c r="AR24" s="57"/>
      <c r="AS24" s="55"/>
      <c r="AT24" s="56"/>
      <c r="AU24" s="56"/>
      <c r="AV24" s="56"/>
      <c r="AW24" s="56"/>
      <c r="AX24" s="57"/>
      <c r="AY24" s="55"/>
      <c r="AZ24" s="56"/>
      <c r="BA24" s="56"/>
      <c r="BB24" s="56"/>
      <c r="BC24" s="56"/>
      <c r="BD24" s="57"/>
      <c r="BE24" s="55"/>
      <c r="BF24" s="56"/>
      <c r="BG24" s="56"/>
      <c r="BH24" s="56"/>
      <c r="BI24" s="56"/>
      <c r="BJ24" s="57"/>
      <c r="BK24" s="55"/>
      <c r="BL24" s="56"/>
      <c r="BM24" s="56"/>
      <c r="BN24" s="56"/>
      <c r="BO24" s="56"/>
      <c r="BP24" s="57"/>
      <c r="BQ24" s="55"/>
      <c r="BR24" s="56"/>
      <c r="BS24" s="56"/>
      <c r="BT24" s="56"/>
      <c r="BU24" s="56"/>
      <c r="BV24" s="57"/>
      <c r="BW24" s="55"/>
      <c r="BX24" s="56"/>
      <c r="BY24" s="56"/>
      <c r="BZ24" s="56"/>
      <c r="CA24" s="56"/>
      <c r="CB24" s="57"/>
      <c r="CC24" s="55"/>
      <c r="CD24" s="56"/>
      <c r="CE24" s="56"/>
      <c r="CF24" s="56"/>
      <c r="CG24" s="56"/>
      <c r="CH24" s="57"/>
      <c r="CI24" s="55"/>
      <c r="CJ24" s="56"/>
      <c r="CK24" s="56"/>
      <c r="CL24" s="56"/>
      <c r="CM24" s="56"/>
      <c r="CN24" s="57"/>
      <c r="CO24" s="55"/>
      <c r="CP24" s="56"/>
      <c r="CQ24" s="56"/>
      <c r="CR24" s="56"/>
      <c r="CS24" s="56"/>
      <c r="CT24" s="57"/>
      <c r="CU24" s="55"/>
      <c r="CV24" s="56"/>
      <c r="CW24" s="56"/>
      <c r="CX24" s="56"/>
      <c r="CY24" s="56"/>
      <c r="CZ24" s="57"/>
      <c r="DA24" s="55"/>
      <c r="DB24" s="56"/>
      <c r="DC24" s="56"/>
      <c r="DD24" s="56"/>
      <c r="DE24" s="56"/>
      <c r="DF24" s="57"/>
      <c r="DG24" s="55"/>
      <c r="DH24" s="56"/>
      <c r="DI24" s="56"/>
      <c r="DJ24" s="56"/>
      <c r="DK24" s="56"/>
      <c r="DL24" s="57"/>
      <c r="DM24" s="55"/>
      <c r="DN24" s="56"/>
      <c r="DO24" s="56"/>
      <c r="DP24" s="56"/>
      <c r="DQ24" s="56"/>
      <c r="DR24" s="57"/>
      <c r="DS24" s="55"/>
      <c r="DT24" s="56"/>
      <c r="DU24" s="56"/>
      <c r="DV24" s="56"/>
      <c r="DW24" s="56"/>
      <c r="DX24" s="57"/>
      <c r="DY24" s="55"/>
      <c r="DZ24" s="56"/>
      <c r="EA24" s="56"/>
      <c r="EB24" s="56"/>
      <c r="EC24" s="56"/>
      <c r="ED24" s="57"/>
      <c r="EE24" s="55"/>
      <c r="EF24" s="56"/>
      <c r="EG24" s="56"/>
      <c r="EH24" s="56"/>
      <c r="EI24" s="56"/>
      <c r="EJ24" s="57"/>
      <c r="EK24" s="55"/>
      <c r="EL24" s="56"/>
      <c r="EM24" s="56"/>
      <c r="EN24" s="56"/>
      <c r="EO24" s="56"/>
      <c r="EP24" s="57"/>
      <c r="EQ24" s="58">
        <f t="shared" si="0"/>
        <v>0</v>
      </c>
      <c r="ER24" s="59">
        <f t="shared" si="1"/>
        <v>0</v>
      </c>
      <c r="ES24" s="58">
        <f t="shared" si="2"/>
        <v>0</v>
      </c>
      <c r="ET24" s="59">
        <f t="shared" si="3"/>
        <v>0</v>
      </c>
      <c r="EU24" s="58">
        <f t="shared" si="4"/>
        <v>0</v>
      </c>
      <c r="EV24" s="59">
        <f t="shared" si="5"/>
        <v>0</v>
      </c>
      <c r="EW24" s="58">
        <f>SUM(DG24:EP24)+(EX24*10)</f>
        <v>0</v>
      </c>
      <c r="EX24" s="59">
        <f>COUNTIF(DG24:EP24,"x")</f>
        <v>0</v>
      </c>
      <c r="EY24" s="60">
        <f t="shared" si="6"/>
        <v>0</v>
      </c>
      <c r="EZ24" s="58">
        <f>COUNTA(C24:EP24)-COUNTIF(C24:EP24,"m")</f>
        <v>0</v>
      </c>
      <c r="FA24" s="61">
        <f>COUNTIF(C24:EP24,10)+FB24</f>
        <v>0</v>
      </c>
      <c r="FB24" s="63">
        <f>COUNTIF(C24:EP24,"x")</f>
        <v>0</v>
      </c>
      <c r="FC24" s="84">
        <v>1194</v>
      </c>
      <c r="FD24" s="49">
        <v>281</v>
      </c>
      <c r="FE24" s="50">
        <v>272</v>
      </c>
      <c r="FF24" s="50">
        <v>288</v>
      </c>
      <c r="FG24" s="50">
        <v>285</v>
      </c>
      <c r="FH24" s="53">
        <f t="shared" si="7"/>
        <v>1126</v>
      </c>
      <c r="FI24" s="45">
        <f>SUM(FC24:FG24)</f>
        <v>2320</v>
      </c>
      <c r="FJ24" s="59">
        <f t="shared" si="8"/>
        <v>20</v>
      </c>
      <c r="FK24" s="62"/>
      <c r="FL24" s="63"/>
      <c r="FM24" s="63"/>
      <c r="FN24" s="59"/>
      <c r="FO24" s="60"/>
      <c r="FP24" s="53"/>
      <c r="FQ24" s="86">
        <f t="shared" si="9"/>
        <v>332010010010</v>
      </c>
    </row>
    <row r="25" spans="2:172" ht="16.5">
      <c r="B25" s="250">
        <v>38112</v>
      </c>
      <c r="FC25" s="88" t="s">
        <v>307</v>
      </c>
      <c r="FP25" s="64"/>
    </row>
    <row r="26" spans="1:168" ht="48.75" customHeight="1">
      <c r="A26" s="70" t="s">
        <v>57</v>
      </c>
      <c r="FE26" s="65"/>
      <c r="FF26" s="65"/>
      <c r="FJ26" s="65"/>
      <c r="FK26" s="65"/>
      <c r="FL26" s="65"/>
    </row>
    <row r="27" spans="1:168" ht="16.5">
      <c r="A27" s="65"/>
      <c r="FE27" s="65"/>
      <c r="FF27" s="65"/>
      <c r="FJ27" s="65"/>
      <c r="FK27" s="65"/>
      <c r="FL27" s="65"/>
    </row>
  </sheetData>
  <sheetProtection password="C613" sheet="1" objects="1" scenarios="1"/>
  <mergeCells count="5">
    <mergeCell ref="A1:FO1"/>
    <mergeCell ref="FC3:FC4"/>
    <mergeCell ref="FO3:FO4"/>
    <mergeCell ref="FN3:FN4"/>
    <mergeCell ref="A2:FO2"/>
  </mergeCells>
  <conditionalFormatting sqref="EQ5:EQ24">
    <cfRule type="cellIs" priority="1" dxfId="2" operator="notEqual" stopIfTrue="1">
      <formula>FD5</formula>
    </cfRule>
  </conditionalFormatting>
  <conditionalFormatting sqref="ES5:ES24">
    <cfRule type="cellIs" priority="2" dxfId="2" operator="notEqual" stopIfTrue="1">
      <formula>FE5</formula>
    </cfRule>
  </conditionalFormatting>
  <conditionalFormatting sqref="EU5:EU24 EZ5:FB24">
    <cfRule type="cellIs" priority="3" dxfId="2" operator="notEqual" stopIfTrue="1">
      <formula>FF5</formula>
    </cfRule>
  </conditionalFormatting>
  <conditionalFormatting sqref="EW5:EW24">
    <cfRule type="cellIs" priority="4" dxfId="2" operator="notEqual" stopIfTrue="1">
      <formula>FG5</formula>
    </cfRule>
  </conditionalFormatting>
  <conditionalFormatting sqref="FH5:FH24">
    <cfRule type="cellIs" priority="5" dxfId="1" operator="greaterThanOrEqual" stopIfTrue="1">
      <formula>#REF!</formula>
    </cfRule>
  </conditionalFormatting>
  <conditionalFormatting sqref="FD5:FG24">
    <cfRule type="cellIs" priority="6" dxfId="3" operator="greaterThan" stopIfTrue="1">
      <formula>332</formula>
    </cfRule>
  </conditionalFormatting>
  <printOptions horizontalCentered="1" verticalCentered="1"/>
  <pageMargins left="0" right="0.13" top="0" bottom="0" header="0.1968503937007874" footer="0.31496062992125984"/>
  <pageSetup blackAndWhite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Y20"/>
  <sheetViews>
    <sheetView workbookViewId="0" topLeftCell="A1">
      <selection activeCell="J14" sqref="J14:J17"/>
    </sheetView>
  </sheetViews>
  <sheetFormatPr defaultColWidth="9.00390625" defaultRowHeight="16.5"/>
  <cols>
    <col min="1" max="1" width="2.50390625" style="1" bestFit="1" customWidth="1"/>
    <col min="2" max="7" width="3.50390625" style="1" bestFit="1" customWidth="1"/>
    <col min="8" max="15" width="5.50390625" style="1" bestFit="1" customWidth="1"/>
    <col min="16" max="51" width="3.50390625" style="1" bestFit="1" customWidth="1"/>
    <col min="52" max="16384" width="4.625" style="1" customWidth="1"/>
  </cols>
  <sheetData>
    <row r="1" spans="1:51" ht="16.5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</row>
    <row r="2" spans="1:51" ht="16.5">
      <c r="A2" s="1">
        <v>0</v>
      </c>
      <c r="B2" s="1">
        <v>40</v>
      </c>
      <c r="C2" s="1">
        <v>37</v>
      </c>
      <c r="D2" s="1">
        <v>34</v>
      </c>
      <c r="E2" s="1">
        <v>31</v>
      </c>
      <c r="F2" s="1">
        <v>28</v>
      </c>
      <c r="G2" s="1">
        <v>25</v>
      </c>
      <c r="H2" s="1">
        <v>22</v>
      </c>
      <c r="I2" s="1">
        <v>19</v>
      </c>
      <c r="J2" s="1">
        <v>16</v>
      </c>
      <c r="K2" s="1">
        <v>13</v>
      </c>
      <c r="L2" s="1">
        <v>10</v>
      </c>
      <c r="M2" s="1">
        <v>8</v>
      </c>
      <c r="N2" s="1">
        <v>6</v>
      </c>
      <c r="O2" s="1">
        <v>4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</row>
    <row r="3" spans="1:51" ht="16.5">
      <c r="A3" s="1">
        <v>0</v>
      </c>
      <c r="B3" s="1">
        <v>9</v>
      </c>
      <c r="C3" s="1">
        <v>8</v>
      </c>
      <c r="D3" s="1">
        <v>7</v>
      </c>
      <c r="E3" s="1">
        <v>6</v>
      </c>
      <c r="F3" s="1">
        <v>5</v>
      </c>
      <c r="G3" s="1">
        <v>4</v>
      </c>
      <c r="H3" s="1">
        <v>3</v>
      </c>
      <c r="I3" s="1">
        <v>2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 t="s">
        <v>26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</row>
    <row r="4" spans="1:51" ht="16.5">
      <c r="A4" s="1">
        <v>0</v>
      </c>
      <c r="B4" s="1">
        <v>9</v>
      </c>
      <c r="C4" s="1">
        <v>8</v>
      </c>
      <c r="D4" s="1">
        <v>7</v>
      </c>
      <c r="E4" s="1">
        <v>6</v>
      </c>
      <c r="F4" s="1">
        <v>5</v>
      </c>
      <c r="G4" s="1">
        <v>4</v>
      </c>
      <c r="H4" s="1">
        <v>3</v>
      </c>
      <c r="I4" s="1">
        <v>2</v>
      </c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</row>
    <row r="5" spans="1:51" ht="16.5">
      <c r="A5" s="1">
        <v>0</v>
      </c>
      <c r="B5" s="1">
        <v>9</v>
      </c>
      <c r="C5" s="1">
        <v>8</v>
      </c>
      <c r="D5" s="1">
        <v>7</v>
      </c>
      <c r="E5" s="1">
        <v>6</v>
      </c>
      <c r="F5" s="1">
        <v>5</v>
      </c>
      <c r="G5" s="1">
        <v>4</v>
      </c>
      <c r="H5" s="1">
        <v>3</v>
      </c>
      <c r="I5" s="1">
        <v>2</v>
      </c>
      <c r="J5" s="1">
        <v>1</v>
      </c>
      <c r="K5" s="1">
        <v>0</v>
      </c>
      <c r="L5" s="1">
        <v>0</v>
      </c>
      <c r="M5" s="1">
        <v>0</v>
      </c>
      <c r="N5" s="1" t="s">
        <v>26</v>
      </c>
      <c r="O5" s="1" t="s">
        <v>26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</row>
    <row r="6" spans="1:51" ht="16.5">
      <c r="A6" s="1">
        <v>0</v>
      </c>
      <c r="B6" s="1">
        <v>9</v>
      </c>
      <c r="C6" s="1">
        <v>8</v>
      </c>
      <c r="D6" s="1">
        <v>7</v>
      </c>
      <c r="E6" s="1">
        <v>6</v>
      </c>
      <c r="F6" s="1">
        <v>5</v>
      </c>
      <c r="G6" s="1">
        <v>4</v>
      </c>
      <c r="H6" s="1">
        <v>3</v>
      </c>
      <c r="I6" s="1">
        <v>2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</row>
    <row r="7" spans="1:51" ht="16.5">
      <c r="A7" s="1">
        <v>0</v>
      </c>
      <c r="B7" s="1">
        <v>9</v>
      </c>
      <c r="C7" s="1">
        <v>8</v>
      </c>
      <c r="D7" s="1">
        <v>7</v>
      </c>
      <c r="E7" s="1">
        <v>6</v>
      </c>
      <c r="F7" s="1">
        <v>5</v>
      </c>
      <c r="G7" s="1">
        <v>4</v>
      </c>
      <c r="H7" s="1">
        <v>3</v>
      </c>
      <c r="I7" s="1">
        <v>2</v>
      </c>
      <c r="J7" s="1">
        <v>1</v>
      </c>
      <c r="K7" s="1">
        <v>0</v>
      </c>
      <c r="L7" s="1">
        <v>0</v>
      </c>
      <c r="M7" s="1" t="s">
        <v>26</v>
      </c>
      <c r="N7" s="1" t="s">
        <v>26</v>
      </c>
      <c r="O7" s="1" t="s">
        <v>26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</row>
    <row r="8" spans="1:51" ht="16.5">
      <c r="A8" s="1">
        <v>0</v>
      </c>
      <c r="B8" s="1">
        <v>9</v>
      </c>
      <c r="C8" s="1">
        <v>8</v>
      </c>
      <c r="D8" s="1">
        <v>7</v>
      </c>
      <c r="E8" s="1">
        <v>6</v>
      </c>
      <c r="F8" s="1">
        <v>5</v>
      </c>
      <c r="G8" s="1">
        <v>4</v>
      </c>
      <c r="H8" s="1">
        <v>3</v>
      </c>
      <c r="I8" s="1">
        <v>2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</row>
    <row r="9" spans="1:51" ht="16.5">
      <c r="A9" s="1">
        <v>0</v>
      </c>
      <c r="B9" s="1">
        <v>9</v>
      </c>
      <c r="C9" s="1">
        <v>8</v>
      </c>
      <c r="D9" s="1">
        <v>7</v>
      </c>
      <c r="E9" s="1">
        <v>6</v>
      </c>
      <c r="F9" s="1">
        <v>5</v>
      </c>
      <c r="G9" s="1">
        <v>4</v>
      </c>
      <c r="H9" s="1">
        <v>3</v>
      </c>
      <c r="I9" s="1">
        <v>2</v>
      </c>
      <c r="J9" s="1">
        <v>1</v>
      </c>
      <c r="K9" s="1">
        <v>0</v>
      </c>
      <c r="L9" s="1" t="s">
        <v>26</v>
      </c>
      <c r="M9" s="1" t="s">
        <v>26</v>
      </c>
      <c r="N9" s="1" t="s">
        <v>26</v>
      </c>
      <c r="O9" s="1" t="s">
        <v>26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</row>
    <row r="10" spans="1:51" ht="16.5">
      <c r="A10" s="1">
        <v>0</v>
      </c>
      <c r="B10" s="1">
        <v>9</v>
      </c>
      <c r="C10" s="1">
        <v>8</v>
      </c>
      <c r="D10" s="1">
        <v>7</v>
      </c>
      <c r="E10" s="1">
        <v>6</v>
      </c>
      <c r="F10" s="1">
        <v>5</v>
      </c>
      <c r="G10" s="1">
        <v>4</v>
      </c>
      <c r="H10" s="1">
        <v>3</v>
      </c>
      <c r="I10" s="1">
        <v>2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</row>
    <row r="11" spans="1:51" ht="16.5">
      <c r="A11" s="1">
        <v>0</v>
      </c>
      <c r="B11" s="1">
        <v>9</v>
      </c>
      <c r="C11" s="1">
        <v>8</v>
      </c>
      <c r="D11" s="1">
        <v>7</v>
      </c>
      <c r="E11" s="1">
        <v>6</v>
      </c>
      <c r="F11" s="1">
        <v>5</v>
      </c>
      <c r="G11" s="1">
        <v>4</v>
      </c>
      <c r="H11" s="1">
        <v>3</v>
      </c>
      <c r="I11" s="1">
        <v>2</v>
      </c>
      <c r="J11" s="1">
        <v>1</v>
      </c>
      <c r="K11" s="1" t="s">
        <v>26</v>
      </c>
      <c r="L11" s="1" t="s">
        <v>26</v>
      </c>
      <c r="M11" s="1" t="s">
        <v>26</v>
      </c>
      <c r="N11" s="1" t="s">
        <v>26</v>
      </c>
      <c r="O11" s="1" t="s">
        <v>26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</row>
    <row r="12" spans="1:51" ht="16.5">
      <c r="A12" s="1">
        <v>0</v>
      </c>
      <c r="B12" s="1">
        <v>9</v>
      </c>
      <c r="C12" s="1">
        <v>8</v>
      </c>
      <c r="D12" s="1">
        <v>7</v>
      </c>
      <c r="E12" s="1">
        <v>6</v>
      </c>
      <c r="F12" s="1">
        <v>5</v>
      </c>
      <c r="G12" s="1">
        <v>4</v>
      </c>
      <c r="H12" s="1">
        <v>3</v>
      </c>
      <c r="I12" s="1">
        <v>2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</row>
    <row r="13" spans="1:51" ht="16.5">
      <c r="A13" s="1">
        <v>0</v>
      </c>
      <c r="B13" s="1">
        <v>9</v>
      </c>
      <c r="C13" s="1">
        <v>8</v>
      </c>
      <c r="D13" s="1">
        <v>7</v>
      </c>
      <c r="E13" s="1">
        <v>6</v>
      </c>
      <c r="F13" s="1">
        <v>5</v>
      </c>
      <c r="G13" s="1">
        <v>4</v>
      </c>
      <c r="H13" s="1">
        <v>3</v>
      </c>
      <c r="I13" s="1">
        <v>2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26</v>
      </c>
      <c r="O13" s="1" t="s">
        <v>26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</row>
    <row r="14" spans="1:51" ht="16.5">
      <c r="A14" s="1">
        <v>0</v>
      </c>
      <c r="B14" s="1">
        <v>9</v>
      </c>
      <c r="C14" s="1">
        <v>8</v>
      </c>
      <c r="D14" s="1">
        <v>7</v>
      </c>
      <c r="E14" s="1">
        <v>6</v>
      </c>
      <c r="F14" s="1">
        <v>5</v>
      </c>
      <c r="G14" s="1">
        <v>4</v>
      </c>
      <c r="H14" s="1">
        <v>3</v>
      </c>
      <c r="I14" s="1">
        <v>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</row>
    <row r="15" spans="1:51" ht="16.5">
      <c r="A15" s="1">
        <v>0</v>
      </c>
      <c r="B15" s="1">
        <v>9</v>
      </c>
      <c r="C15" s="1">
        <v>8</v>
      </c>
      <c r="D15" s="1">
        <v>7</v>
      </c>
      <c r="E15" s="1">
        <v>6</v>
      </c>
      <c r="F15" s="1">
        <v>5</v>
      </c>
      <c r="G15" s="1">
        <v>4</v>
      </c>
      <c r="H15" s="1">
        <v>3</v>
      </c>
      <c r="I15" s="1" t="s">
        <v>26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26</v>
      </c>
      <c r="O15" s="1" t="s">
        <v>26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</row>
    <row r="16" spans="1:51" ht="16.5">
      <c r="A16" s="1">
        <v>0</v>
      </c>
      <c r="B16" s="1">
        <v>9</v>
      </c>
      <c r="C16" s="1">
        <v>8</v>
      </c>
      <c r="D16" s="1">
        <v>7</v>
      </c>
      <c r="E16" s="1">
        <v>6</v>
      </c>
      <c r="F16" s="1">
        <v>5</v>
      </c>
      <c r="G16" s="1">
        <v>4</v>
      </c>
      <c r="H16" s="1">
        <v>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</row>
    <row r="17" spans="1:51" ht="16.5">
      <c r="A17" s="1">
        <v>0</v>
      </c>
      <c r="B17" s="1">
        <v>9</v>
      </c>
      <c r="C17" s="1">
        <v>8</v>
      </c>
      <c r="D17" s="1">
        <v>7</v>
      </c>
      <c r="E17" s="1">
        <v>6</v>
      </c>
      <c r="F17" s="1">
        <v>5</v>
      </c>
      <c r="G17" s="1">
        <v>4</v>
      </c>
      <c r="H17" s="1" t="s">
        <v>26</v>
      </c>
      <c r="I17" s="1" t="s">
        <v>26</v>
      </c>
      <c r="J17" s="1" t="s">
        <v>26</v>
      </c>
      <c r="K17" s="1" t="s">
        <v>26</v>
      </c>
      <c r="L17" s="1" t="s">
        <v>26</v>
      </c>
      <c r="M17" s="1" t="s">
        <v>26</v>
      </c>
      <c r="N17" s="1" t="s">
        <v>26</v>
      </c>
      <c r="O17" s="1" t="s">
        <v>26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</row>
    <row r="18" spans="1:51" ht="16.5">
      <c r="A18" s="1">
        <v>0</v>
      </c>
      <c r="B18" s="1">
        <v>9</v>
      </c>
      <c r="C18" s="1">
        <v>8</v>
      </c>
      <c r="D18" s="1">
        <v>7</v>
      </c>
      <c r="E18" s="1">
        <v>6</v>
      </c>
      <c r="F18" s="1">
        <v>5</v>
      </c>
      <c r="G18" s="1">
        <v>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</row>
    <row r="19" spans="1:51" ht="16.5">
      <c r="A19" s="1">
        <v>0</v>
      </c>
      <c r="B19" s="1">
        <v>36</v>
      </c>
      <c r="C19" s="1">
        <v>32</v>
      </c>
      <c r="D19" s="1">
        <v>28</v>
      </c>
      <c r="E19" s="1">
        <v>24</v>
      </c>
      <c r="F19" s="1">
        <v>20</v>
      </c>
      <c r="G19" s="1">
        <v>16</v>
      </c>
      <c r="H19" s="1">
        <v>12</v>
      </c>
      <c r="I19" s="1">
        <v>8</v>
      </c>
      <c r="J19" s="1">
        <v>4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</row>
    <row r="20" spans="1:51" ht="16.5">
      <c r="A20" s="1">
        <v>0</v>
      </c>
      <c r="B20" s="1">
        <v>24</v>
      </c>
      <c r="C20" s="1">
        <v>21</v>
      </c>
      <c r="D20" s="1">
        <v>18</v>
      </c>
      <c r="E20" s="1">
        <v>15</v>
      </c>
      <c r="F20" s="1">
        <v>12</v>
      </c>
      <c r="G20" s="1">
        <v>9</v>
      </c>
      <c r="H20" s="1">
        <v>6</v>
      </c>
      <c r="I20" s="1">
        <v>4</v>
      </c>
      <c r="J20" s="1">
        <v>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yu-sheng</dc:creator>
  <cp:keywords/>
  <dc:description/>
  <cp:lastModifiedBy>精英1</cp:lastModifiedBy>
  <cp:lastPrinted>2004-05-07T03:51:45Z</cp:lastPrinted>
  <dcterms:created xsi:type="dcterms:W3CDTF">2003-09-12T14:32:08Z</dcterms:created>
  <dcterms:modified xsi:type="dcterms:W3CDTF">2004-05-07T08:10:12Z</dcterms:modified>
  <cp:category/>
  <cp:version/>
  <cp:contentType/>
  <cp:contentStatus/>
</cp:coreProperties>
</file>